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adley\Desktop\"/>
    </mc:Choice>
  </mc:AlternateContent>
  <xr:revisionPtr revIDLastSave="0" documentId="8_{0D56A968-A941-467A-9CBD-779AC870D354}" xr6:coauthVersionLast="47" xr6:coauthVersionMax="47" xr10:uidLastSave="{00000000-0000-0000-0000-000000000000}"/>
  <bookViews>
    <workbookView xWindow="58305" yWindow="1785" windowWidth="27255" windowHeight="13695" firstSheet="1" activeTab="3" xr2:uid="{00000000-000D-0000-FFFF-FFFF00000000}"/>
  </bookViews>
  <sheets>
    <sheet name="Rock-armored crossing nomograph" sheetId="8" r:id="rId1"/>
    <sheet name="Rock-armored full design" sheetId="2" r:id="rId2"/>
    <sheet name="Volume calculation worksheet" sheetId="1" r:id="rId3"/>
    <sheet name="Q100 calculations" sheetId="5" r:id="rId4"/>
    <sheet name="Fill Height Worksheet" sheetId="4" r:id="rId5"/>
    <sheet name="Culvert sizing nomograph" sheetId="9" r:id="rId6"/>
  </sheets>
  <externalReferences>
    <externalReference r:id="rId7"/>
    <externalReference r:id="rId8"/>
  </externalReferences>
  <definedNames>
    <definedName name="_xlnm.Print_Area" localSheetId="5">'Culvert sizing nomograph'!$A$1:$J$55</definedName>
    <definedName name="_xlnm.Print_Area" localSheetId="4">'Fill Height Worksheet'!$A$1:$N$32</definedName>
    <definedName name="_xlnm.Print_Area" localSheetId="3">'Q100 calculations'!$A$2:$M$31</definedName>
    <definedName name="_xlnm.Print_Area" localSheetId="0">'Rock-armored crossing nomograph'!$A$1:$V$63</definedName>
    <definedName name="_xlnm.Print_Area" localSheetId="1">'Rock-armored full design'!$A$1:$Q$47</definedName>
    <definedName name="_xlnm.Print_Area" localSheetId="2">'Volume calculation worksheet'!$T$1:$AH$35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F6" i="5"/>
  <c r="H30" i="5" l="1"/>
  <c r="I30" i="5" s="1"/>
  <c r="D30" i="5"/>
  <c r="E30" i="5" s="1"/>
  <c r="A30" i="5"/>
  <c r="H29" i="5"/>
  <c r="I29" i="5" s="1"/>
  <c r="D29" i="5"/>
  <c r="E29" i="5" s="1"/>
  <c r="A29" i="5"/>
  <c r="H28" i="5"/>
  <c r="I28" i="5" s="1"/>
  <c r="D28" i="5"/>
  <c r="E28" i="5" s="1"/>
  <c r="A28" i="5"/>
  <c r="H27" i="5"/>
  <c r="I27" i="5" s="1"/>
  <c r="D27" i="5"/>
  <c r="E27" i="5" s="1"/>
  <c r="A27" i="5"/>
  <c r="H26" i="5"/>
  <c r="I26" i="5" s="1"/>
  <c r="D26" i="5"/>
  <c r="E26" i="5" s="1"/>
  <c r="A26" i="5"/>
  <c r="H25" i="5"/>
  <c r="I25" i="5" s="1"/>
  <c r="D25" i="5"/>
  <c r="E25" i="5" s="1"/>
  <c r="A25" i="5"/>
  <c r="H24" i="5"/>
  <c r="I24" i="5" s="1"/>
  <c r="D24" i="5"/>
  <c r="E24" i="5" s="1"/>
  <c r="A24" i="5"/>
  <c r="H23" i="5"/>
  <c r="I23" i="5" s="1"/>
  <c r="D23" i="5"/>
  <c r="E23" i="5" s="1"/>
  <c r="A23" i="5"/>
  <c r="H22" i="5"/>
  <c r="I22" i="5" s="1"/>
  <c r="D22" i="5"/>
  <c r="E22" i="5" s="1"/>
  <c r="A22" i="5"/>
  <c r="H21" i="5"/>
  <c r="I21" i="5" s="1"/>
  <c r="D21" i="5"/>
  <c r="E21" i="5" s="1"/>
  <c r="A21" i="5"/>
  <c r="H15" i="5"/>
  <c r="F15" i="5"/>
  <c r="L15" i="5" s="1"/>
  <c r="H14" i="5"/>
  <c r="F14" i="5"/>
  <c r="L14" i="5" s="1"/>
  <c r="I13" i="5"/>
  <c r="H13" i="5"/>
  <c r="F13" i="5"/>
  <c r="L13" i="5" s="1"/>
  <c r="H12" i="5"/>
  <c r="F12" i="5"/>
  <c r="J12" i="5" s="1"/>
  <c r="K11" i="5"/>
  <c r="H11" i="5"/>
  <c r="F11" i="5"/>
  <c r="L11" i="5" s="1"/>
  <c r="L10" i="5"/>
  <c r="K10" i="5"/>
  <c r="I10" i="5"/>
  <c r="H10" i="5"/>
  <c r="J10" i="5" s="1"/>
  <c r="H9" i="5"/>
  <c r="J9" i="5" s="1"/>
  <c r="F9" i="5"/>
  <c r="K9" i="5" s="1"/>
  <c r="H8" i="5"/>
  <c r="F8" i="5"/>
  <c r="I8" i="5" s="1"/>
  <c r="L7" i="5"/>
  <c r="K7" i="5"/>
  <c r="H7" i="5"/>
  <c r="F7" i="5"/>
  <c r="I7" i="5" s="1"/>
  <c r="H6" i="5"/>
  <c r="L6" i="5"/>
  <c r="I28" i="4"/>
  <c r="G28" i="4"/>
  <c r="I27" i="4"/>
  <c r="G27" i="4"/>
  <c r="I26" i="4"/>
  <c r="G26" i="4"/>
  <c r="I25" i="4"/>
  <c r="G25" i="4"/>
  <c r="B25" i="4"/>
  <c r="C11" i="4" s="1"/>
  <c r="I24" i="4"/>
  <c r="G24" i="4"/>
  <c r="I23" i="4"/>
  <c r="G23" i="4"/>
  <c r="I22" i="4"/>
  <c r="G22" i="4"/>
  <c r="I21" i="4"/>
  <c r="G21" i="4"/>
  <c r="C22" i="4"/>
  <c r="I20" i="4"/>
  <c r="G20" i="4"/>
  <c r="I19" i="4"/>
  <c r="G19" i="4"/>
  <c r="C20" i="4"/>
  <c r="I18" i="4"/>
  <c r="G18" i="4"/>
  <c r="C19" i="4"/>
  <c r="I17" i="4"/>
  <c r="G17" i="4"/>
  <c r="C18" i="4"/>
  <c r="I16" i="4"/>
  <c r="G16" i="4"/>
  <c r="C17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M5" i="4"/>
  <c r="I5" i="4"/>
  <c r="G5" i="4"/>
  <c r="M4" i="4"/>
  <c r="I4" i="4"/>
  <c r="G4" i="4"/>
  <c r="M3" i="4"/>
  <c r="I3" i="4"/>
  <c r="G3" i="4"/>
  <c r="M16" i="2"/>
  <c r="K15" i="5" l="1"/>
  <c r="J7" i="5"/>
  <c r="I9" i="5"/>
  <c r="I11" i="5"/>
  <c r="J13" i="5"/>
  <c r="L9" i="5"/>
  <c r="J11" i="5"/>
  <c r="J8" i="5"/>
  <c r="K14" i="5"/>
  <c r="I15" i="5"/>
  <c r="C16" i="4"/>
  <c r="J15" i="5"/>
  <c r="K6" i="5"/>
  <c r="J6" i="5"/>
  <c r="K12" i="5"/>
  <c r="K8" i="5"/>
  <c r="L12" i="5"/>
  <c r="L8" i="5"/>
  <c r="I14" i="5"/>
  <c r="I6" i="5"/>
  <c r="J14" i="5"/>
  <c r="I12" i="5"/>
  <c r="K13" i="5"/>
  <c r="C21" i="4"/>
  <c r="C13" i="4" s="1"/>
  <c r="P9" i="2"/>
  <c r="M12" i="2" l="1"/>
  <c r="AE30" i="1"/>
  <c r="AC30" i="1"/>
  <c r="AE29" i="1"/>
  <c r="AC29" i="1"/>
  <c r="AE28" i="1"/>
  <c r="AC28" i="1"/>
  <c r="AE27" i="1"/>
  <c r="AC27" i="1"/>
  <c r="AE26" i="1"/>
  <c r="AC26" i="1"/>
  <c r="AE25" i="1"/>
  <c r="AC25" i="1"/>
  <c r="U25" i="1"/>
  <c r="AE24" i="1"/>
  <c r="AC24" i="1"/>
  <c r="U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AE17" i="1"/>
  <c r="AC17" i="1"/>
  <c r="AE16" i="1"/>
  <c r="AC16" i="1"/>
  <c r="AE15" i="1"/>
  <c r="AC15" i="1"/>
  <c r="AE14" i="1"/>
  <c r="AC14" i="1"/>
  <c r="AE13" i="1"/>
  <c r="AC13" i="1"/>
  <c r="AE12" i="1"/>
  <c r="AC12" i="1"/>
  <c r="U12" i="1"/>
  <c r="U13" i="1" s="1"/>
  <c r="AE11" i="1"/>
  <c r="AC11" i="1"/>
  <c r="AE10" i="1"/>
  <c r="AC10" i="1"/>
  <c r="AE9" i="1"/>
  <c r="AC9" i="1"/>
  <c r="AE8" i="1"/>
  <c r="AC8" i="1"/>
  <c r="AH7" i="1"/>
  <c r="AE7" i="1"/>
  <c r="AC7" i="1"/>
  <c r="AH6" i="1"/>
  <c r="AE6" i="1"/>
  <c r="AC6" i="1"/>
  <c r="AH5" i="1"/>
  <c r="AE5" i="1"/>
  <c r="AC5" i="1"/>
  <c r="U16" i="1" l="1"/>
  <c r="U26" i="1"/>
  <c r="M19" i="2"/>
  <c r="U21" i="1"/>
  <c r="U22" i="1"/>
  <c r="U18" i="1"/>
  <c r="U17" i="1" l="1"/>
  <c r="U15" i="1" s="1"/>
  <c r="M36" i="2"/>
  <c r="M37" i="2" s="1"/>
  <c r="M38" i="2" s="1"/>
  <c r="M39" i="2" s="1"/>
  <c r="M24" i="2"/>
  <c r="M25" i="2" s="1"/>
  <c r="M28" i="2" s="1"/>
  <c r="P19" i="2"/>
  <c r="U28" i="1"/>
  <c r="U14" i="1" l="1"/>
  <c r="U19" i="1" s="1"/>
  <c r="U30" i="1" s="1"/>
  <c r="M30" i="2"/>
  <c r="P36" i="2"/>
  <c r="M41" i="2" s="1"/>
  <c r="U29" i="1"/>
  <c r="U32" i="1" s="1"/>
  <c r="U33" i="1" s="1"/>
  <c r="U20" i="1" l="1"/>
</calcChain>
</file>

<file path=xl/sharedStrings.xml><?xml version="1.0" encoding="utf-8"?>
<sst xmlns="http://schemas.openxmlformats.org/spreadsheetml/2006/main" count="208" uniqueCount="187">
  <si>
    <t>Fill volume estimator worksheet*</t>
  </si>
  <si>
    <t>Input parameters</t>
  </si>
  <si>
    <t>Wc (assume equal to pipe diameter, ft.)</t>
  </si>
  <si>
    <t>Conversion Table</t>
  </si>
  <si>
    <t>Wr (width of road surface, ft.)</t>
  </si>
  <si>
    <t>Slope %</t>
  </si>
  <si>
    <t>Degrees</t>
  </si>
  <si>
    <t>Su (upstream fillslope angle, degrees)</t>
  </si>
  <si>
    <t>Sd (downstream fillslope angle, degrees)</t>
  </si>
  <si>
    <t>Hu (height of fill above inlet, ft.</t>
  </si>
  <si>
    <t xml:space="preserve">Ave. side slope (degrees) </t>
  </si>
  <si>
    <t>Stream gradient (degrees)</t>
  </si>
  <si>
    <t xml:space="preserve">Output </t>
  </si>
  <si>
    <t>Hu</t>
  </si>
  <si>
    <t>Bu</t>
  </si>
  <si>
    <t>Hd</t>
  </si>
  <si>
    <t>Bd</t>
  </si>
  <si>
    <t>Lu</t>
  </si>
  <si>
    <t>Ld</t>
  </si>
  <si>
    <t>Wf(up stream)</t>
  </si>
  <si>
    <t>Wf(down stream)</t>
  </si>
  <si>
    <t>Ave. Wf (road surface)</t>
  </si>
  <si>
    <t>Hdac (height downstream above culvert, dac)</t>
  </si>
  <si>
    <t>Huac (height upstream above culvert, uac)</t>
  </si>
  <si>
    <t>Angle A</t>
  </si>
  <si>
    <t>Angle B</t>
  </si>
  <si>
    <t>Angle C</t>
  </si>
  <si>
    <t>Volume of upstream prism, ft^3</t>
  </si>
  <si>
    <t>Volume of prism below road, ft^3</t>
  </si>
  <si>
    <t>Volume of downstream prism, ft^3</t>
  </si>
  <si>
    <t>Total Volume, ft^3</t>
  </si>
  <si>
    <t>Total Volume, yd^3</t>
  </si>
  <si>
    <t>* Results are approximate and are not for design or inforcement purposes.</t>
  </si>
  <si>
    <t>Acceleration due to gravity, g</t>
  </si>
  <si>
    <t>Q100, cfs</t>
  </si>
  <si>
    <t>Uniformity Coef., Cu</t>
  </si>
  <si>
    <t>Units constant, Ku</t>
  </si>
  <si>
    <t>Specific gravity, Sg</t>
  </si>
  <si>
    <t>Angle of repose, phi</t>
  </si>
  <si>
    <t>2*D50</t>
  </si>
  <si>
    <t>Average flow depth, y (y=qf/Vave)</t>
  </si>
  <si>
    <t>Test:</t>
  </si>
  <si>
    <t>Notes:</t>
  </si>
  <si>
    <t>Design of riprap for overtopping flow, Design Guideline 5 - HEC 23 - FHWA (Lagasse et al., 2006)</t>
  </si>
  <si>
    <t>Rock-armored Crossing Riprap Design</t>
  </si>
  <si>
    <t>Wier flow coefficient,C</t>
  </si>
  <si>
    <t>Step 3: Select riprap size class or source that has the correct d50 size.</t>
  </si>
  <si>
    <t>cfs</t>
  </si>
  <si>
    <t>ft.</t>
  </si>
  <si>
    <t>cfs/ft</t>
  </si>
  <si>
    <t>ft/s^2</t>
  </si>
  <si>
    <t>ft/ft</t>
  </si>
  <si>
    <t>degrees</t>
  </si>
  <si>
    <t>Hydrologic/hydraulic Parameters:</t>
  </si>
  <si>
    <t>Rock riprap Parameter:</t>
  </si>
  <si>
    <t>ft/s</t>
  </si>
  <si>
    <t>ft</t>
  </si>
  <si>
    <r>
      <t xml:space="preserve">Porosity, </t>
    </r>
    <r>
      <rPr>
        <i/>
        <sz val="10"/>
        <rFont val="Arial"/>
        <family val="2"/>
      </rPr>
      <t>n</t>
    </r>
  </si>
  <si>
    <r>
      <t>Average velocity, Vave (Vave=</t>
    </r>
    <r>
      <rPr>
        <i/>
        <sz val="10"/>
        <rFont val="Arial"/>
        <family val="2"/>
      </rPr>
      <t>n</t>
    </r>
    <r>
      <rPr>
        <sz val="10"/>
        <rFont val="Arial"/>
        <family val="2"/>
      </rPr>
      <t>Vi)</t>
    </r>
  </si>
  <si>
    <t>If "PASS" record increased d50 and riprap thickness above.</t>
  </si>
  <si>
    <t>Increase factor above 1 in increments of 0.05 (eg. 1.05, 1.10, …) until the design receives a "PASS"</t>
  </si>
  <si>
    <t>D50 rock size</t>
  </si>
  <si>
    <t xml:space="preserve">Increased D50 rock size </t>
  </si>
  <si>
    <t>Input parameters*</t>
  </si>
  <si>
    <t>* All parameters requiring user input are highlighted in "Yellow"</t>
  </si>
  <si>
    <t>Design Steps with computations</t>
  </si>
  <si>
    <t>Other parameters</t>
  </si>
  <si>
    <t>C</t>
  </si>
  <si>
    <t xml:space="preserve">H </t>
  </si>
  <si>
    <t>A</t>
  </si>
  <si>
    <t>L</t>
  </si>
  <si>
    <t>Input parameters:</t>
  </si>
  <si>
    <t>B - stream slope, degrees.</t>
  </si>
  <si>
    <r>
      <t>H</t>
    </r>
    <r>
      <rPr>
        <sz val="10"/>
        <rFont val="Arial"/>
        <family val="2"/>
      </rPr>
      <t>1</t>
    </r>
    <r>
      <rPr>
        <sz val="10"/>
        <rFont val="Arial"/>
        <family val="2"/>
      </rPr>
      <t xml:space="preserve"> - Height of fill over inlet, ft.</t>
    </r>
  </si>
  <si>
    <t>RW - Road width, ft.</t>
  </si>
  <si>
    <t xml:space="preserve">D - Pipe diameter, in. </t>
  </si>
  <si>
    <t>A - Fillslope face inclination, degrees.</t>
  </si>
  <si>
    <t>Output parameters:</t>
  </si>
  <si>
    <t>PL - Pipe length, ft.</t>
  </si>
  <si>
    <t>Interim. Calcs.</t>
  </si>
  <si>
    <t>angle a (degrees)</t>
  </si>
  <si>
    <t>angle b (degrees)</t>
  </si>
  <si>
    <t>angle c (degrees)</t>
  </si>
  <si>
    <t>length a (ft)</t>
  </si>
  <si>
    <t>length b (ft)</t>
  </si>
  <si>
    <t>length c (ft)</t>
  </si>
  <si>
    <t>length d (ft)</t>
  </si>
  <si>
    <t>l1</t>
  </si>
  <si>
    <t>Location:</t>
  </si>
  <si>
    <t>(Enter data in fields with red-colored headings.  Other data fields will be calculated automatically.)</t>
  </si>
  <si>
    <r>
      <t>100-yr flood flow Q</t>
    </r>
    <r>
      <rPr>
        <b/>
        <vertAlign val="subscript"/>
        <sz val="10"/>
        <rFont val="Arial"/>
        <family val="2"/>
      </rPr>
      <t>100</t>
    </r>
    <r>
      <rPr>
        <b/>
        <sz val="10"/>
        <rFont val="Arial"/>
        <family val="2"/>
      </rPr>
      <t xml:space="preserve"> (cfs)</t>
    </r>
  </si>
  <si>
    <t>No.</t>
  </si>
  <si>
    <t>Crossing</t>
  </si>
  <si>
    <t>Area 
(acres)
A</t>
  </si>
  <si>
    <r>
      <t>Basin maximum elevation
(ft)</t>
    </r>
    <r>
      <rPr>
        <b/>
        <sz val="10"/>
        <color indexed="12"/>
        <rFont val="Arial"/>
        <family val="2"/>
      </rPr>
      <t>*</t>
    </r>
  </si>
  <si>
    <r>
      <t>Crossing elevation
(ft)</t>
    </r>
    <r>
      <rPr>
        <b/>
        <sz val="10"/>
        <color indexed="12"/>
        <rFont val="Arial"/>
        <family val="2"/>
      </rPr>
      <t>*</t>
    </r>
  </si>
  <si>
    <r>
      <t>Area 
(mi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)
A</t>
    </r>
  </si>
  <si>
    <t>Avg. Annual
Precipitation 
(in/yr)
P</t>
  </si>
  <si>
    <r>
      <t>North Coast</t>
    </r>
    <r>
      <rPr>
        <b/>
        <vertAlign val="superscript"/>
        <sz val="11"/>
        <rFont val="Arial"/>
        <family val="2"/>
      </rPr>
      <t xml:space="preserve">(1)
</t>
    </r>
    <r>
      <rPr>
        <b/>
        <sz val="10"/>
        <rFont val="Arial"/>
        <family val="2"/>
      </rPr>
      <t>(NC)</t>
    </r>
  </si>
  <si>
    <r>
      <t>Sierra</t>
    </r>
    <r>
      <rPr>
        <b/>
        <vertAlign val="superscript"/>
        <sz val="11"/>
        <rFont val="Arial"/>
        <family val="2"/>
      </rPr>
      <t xml:space="preserve">(2)
</t>
    </r>
    <r>
      <rPr>
        <b/>
        <sz val="10"/>
        <rFont val="Arial"/>
        <family val="2"/>
      </rPr>
      <t>(S)</t>
    </r>
  </si>
  <si>
    <r>
      <t>North-east</t>
    </r>
    <r>
      <rPr>
        <b/>
        <vertAlign val="superscript"/>
        <sz val="11"/>
        <rFont val="Arial"/>
        <family val="2"/>
      </rPr>
      <t xml:space="preserve">(3)
</t>
    </r>
    <r>
      <rPr>
        <b/>
        <sz val="10"/>
        <rFont val="Arial"/>
        <family val="2"/>
      </rPr>
      <t>(NE)</t>
    </r>
  </si>
  <si>
    <r>
      <t>Central Coast</t>
    </r>
    <r>
      <rPr>
        <b/>
        <vertAlign val="superscript"/>
        <sz val="11"/>
        <rFont val="Arial"/>
        <family val="2"/>
      </rPr>
      <t xml:space="preserve">(4)
</t>
    </r>
    <r>
      <rPr>
        <b/>
        <sz val="10"/>
        <rFont val="Arial"/>
        <family val="2"/>
      </rPr>
      <t>(CC)</t>
    </r>
  </si>
  <si>
    <t>See below for M&amp;F equations</t>
  </si>
  <si>
    <r>
      <t>T</t>
    </r>
    <r>
      <rPr>
        <b/>
        <vertAlign val="subscript"/>
        <sz val="12"/>
        <rFont val="Arial"/>
        <family val="2"/>
      </rPr>
      <t>c</t>
    </r>
    <r>
      <rPr>
        <b/>
        <sz val="10"/>
        <rFont val="Arial"/>
        <family val="2"/>
      </rPr>
      <t xml:space="preserve"> = 60((11.9 X L</t>
    </r>
    <r>
      <rPr>
        <b/>
        <vertAlign val="superscript"/>
        <sz val="12"/>
        <rFont val="Arial"/>
        <family val="2"/>
      </rPr>
      <t>3</t>
    </r>
    <r>
      <rPr>
        <b/>
        <sz val="10"/>
        <rFont val="Arial"/>
        <family val="2"/>
      </rPr>
      <t>)/H )^0.385</t>
    </r>
  </si>
  <si>
    <r>
      <t xml:space="preserve"> Q</t>
    </r>
    <r>
      <rPr>
        <b/>
        <vertAlign val="subscript"/>
        <sz val="12"/>
        <rFont val="Arial"/>
        <family val="2"/>
      </rPr>
      <t>100</t>
    </r>
    <r>
      <rPr>
        <b/>
        <sz val="10"/>
        <rFont val="Arial"/>
        <family val="2"/>
      </rPr>
      <t xml:space="preserve"> = CIA</t>
    </r>
  </si>
  <si>
    <r>
      <t xml:space="preserve">Channel length </t>
    </r>
    <r>
      <rPr>
        <b/>
        <sz val="8"/>
        <color indexed="10"/>
        <rFont val="Arial"/>
        <family val="2"/>
      </rPr>
      <t>(to top of basin)</t>
    </r>
    <r>
      <rPr>
        <b/>
        <sz val="10"/>
        <color indexed="10"/>
        <rFont val="Arial"/>
        <family val="2"/>
      </rPr>
      <t xml:space="preserve"> (mi)</t>
    </r>
  </si>
  <si>
    <t>Elevation difference 
(ft)</t>
  </si>
  <si>
    <t>Concentra-tion time
(min)</t>
  </si>
  <si>
    <t>Runoff coefficient</t>
  </si>
  <si>
    <t>100-year
Return-Period
Precipitation 
(in/hr)</t>
  </si>
  <si>
    <t>Area 
(acres)</t>
  </si>
  <si>
    <r>
      <t>100-yr flood flow</t>
    </r>
    <r>
      <rPr>
        <b/>
        <sz val="10"/>
        <rFont val="Arial"/>
        <family val="2"/>
      </rPr>
      <t xml:space="preserve">
(cfs) </t>
    </r>
  </si>
  <si>
    <t>Tc</t>
  </si>
  <si>
    <r>
      <t>I</t>
    </r>
    <r>
      <rPr>
        <b/>
        <sz val="10"/>
        <color indexed="12"/>
        <rFont val="Arial"/>
        <family val="2"/>
      </rPr>
      <t>*</t>
    </r>
  </si>
  <si>
    <t>Q100</t>
  </si>
  <si>
    <r>
      <t>Magnitude &amp; Frequency Q</t>
    </r>
    <r>
      <rPr>
        <b/>
        <i/>
        <vertAlign val="subscript"/>
        <sz val="10"/>
        <rFont val="Arial"/>
        <family val="2"/>
      </rPr>
      <t>100</t>
    </r>
    <r>
      <rPr>
        <b/>
        <i/>
        <sz val="10"/>
        <rFont val="Arial"/>
        <family val="2"/>
      </rPr>
      <t xml:space="preserve"> equations</t>
    </r>
  </si>
  <si>
    <r>
      <t>NC</t>
    </r>
    <r>
      <rPr>
        <sz val="10"/>
        <rFont val="Arial"/>
        <family val="2"/>
      </rPr>
      <t xml:space="preserve"> (1)</t>
    </r>
  </si>
  <si>
    <r>
      <t>Q</t>
    </r>
    <r>
      <rPr>
        <vertAlign val="subscript"/>
        <sz val="10"/>
        <rFont val="Arial"/>
        <family val="2"/>
      </rPr>
      <t>100</t>
    </r>
    <r>
      <rPr>
        <sz val="9"/>
        <rFont val="Arial"/>
        <family val="2"/>
      </rPr>
      <t xml:space="preserve"> =48.5(A) </t>
    </r>
    <r>
      <rPr>
        <vertAlign val="superscript"/>
        <sz val="10"/>
        <rFont val="Arial"/>
        <family val="2"/>
      </rPr>
      <t>0.866</t>
    </r>
    <r>
      <rPr>
        <sz val="9"/>
        <rFont val="Arial"/>
        <family val="2"/>
      </rPr>
      <t xml:space="preserve"> (P)</t>
    </r>
    <r>
      <rPr>
        <vertAlign val="superscript"/>
        <sz val="10"/>
        <rFont val="Arial"/>
        <family val="2"/>
      </rPr>
      <t xml:space="preserve"> 0.556</t>
    </r>
  </si>
  <si>
    <r>
      <t>S</t>
    </r>
    <r>
      <rPr>
        <sz val="10"/>
        <rFont val="Arial"/>
        <family val="2"/>
      </rPr>
      <t xml:space="preserve"> (2)</t>
    </r>
  </si>
  <si>
    <r>
      <t>Q</t>
    </r>
    <r>
      <rPr>
        <vertAlign val="subscript"/>
        <sz val="10"/>
        <rFont val="Arial"/>
        <family val="2"/>
      </rPr>
      <t>100</t>
    </r>
    <r>
      <rPr>
        <sz val="9"/>
        <rFont val="Arial"/>
        <family val="2"/>
      </rPr>
      <t xml:space="preserve"> = 20.6 (A) </t>
    </r>
    <r>
      <rPr>
        <vertAlign val="superscript"/>
        <sz val="10"/>
        <rFont val="Arial"/>
        <family val="2"/>
      </rPr>
      <t>0.874</t>
    </r>
    <r>
      <rPr>
        <sz val="9"/>
        <rFont val="Arial"/>
        <family val="2"/>
      </rPr>
      <t xml:space="preserve"> (P)</t>
    </r>
    <r>
      <rPr>
        <vertAlign val="superscript"/>
        <sz val="10"/>
        <rFont val="Arial"/>
        <family val="2"/>
      </rPr>
      <t xml:space="preserve"> 1.24</t>
    </r>
    <r>
      <rPr>
        <sz val="9"/>
        <rFont val="Arial"/>
        <family val="2"/>
      </rPr>
      <t xml:space="preserve"> (H)</t>
    </r>
    <r>
      <rPr>
        <vertAlign val="superscript"/>
        <sz val="10"/>
        <rFont val="Arial"/>
        <family val="2"/>
      </rPr>
      <t>-0.250</t>
    </r>
  </si>
  <si>
    <r>
      <t>NE</t>
    </r>
    <r>
      <rPr>
        <sz val="10"/>
        <rFont val="Arial"/>
        <family val="2"/>
      </rPr>
      <t xml:space="preserve"> (3)</t>
    </r>
  </si>
  <si>
    <r>
      <t>Q</t>
    </r>
    <r>
      <rPr>
        <vertAlign val="subscript"/>
        <sz val="10"/>
        <rFont val="Arial"/>
        <family val="2"/>
      </rPr>
      <t>100</t>
    </r>
    <r>
      <rPr>
        <sz val="9"/>
        <rFont val="Arial"/>
        <family val="2"/>
      </rPr>
      <t xml:space="preserve"> = 0.713 (A)</t>
    </r>
    <r>
      <rPr>
        <vertAlign val="superscript"/>
        <sz val="10"/>
        <rFont val="Arial"/>
        <family val="2"/>
      </rPr>
      <t>0.731</t>
    </r>
    <r>
      <rPr>
        <sz val="10"/>
        <rFont val="Arial"/>
        <family val="2"/>
      </rPr>
      <t>(P)</t>
    </r>
    <r>
      <rPr>
        <vertAlign val="superscript"/>
        <sz val="10"/>
        <rFont val="Arial"/>
        <family val="2"/>
      </rPr>
      <t>1.56</t>
    </r>
  </si>
  <si>
    <r>
      <t>CC</t>
    </r>
    <r>
      <rPr>
        <sz val="10"/>
        <rFont val="Arial"/>
        <family val="2"/>
      </rPr>
      <t xml:space="preserve"> (4)</t>
    </r>
  </si>
  <si>
    <r>
      <t>Q</t>
    </r>
    <r>
      <rPr>
        <vertAlign val="subscript"/>
        <sz val="10"/>
        <rFont val="Arial"/>
        <family val="2"/>
      </rPr>
      <t>100</t>
    </r>
    <r>
      <rPr>
        <sz val="9"/>
        <rFont val="Arial"/>
        <family val="2"/>
      </rPr>
      <t xml:space="preserve"> = 11.0 (A) </t>
    </r>
    <r>
      <rPr>
        <vertAlign val="superscript"/>
        <sz val="10"/>
        <rFont val="Arial"/>
        <family val="2"/>
      </rPr>
      <t>0.84</t>
    </r>
    <r>
      <rPr>
        <sz val="9"/>
        <rFont val="Arial"/>
        <family val="2"/>
      </rPr>
      <t xml:space="preserve"> (P)</t>
    </r>
    <r>
      <rPr>
        <vertAlign val="superscript"/>
        <sz val="10"/>
        <rFont val="Arial"/>
        <family val="2"/>
      </rPr>
      <t xml:space="preserve"> 0.994</t>
    </r>
    <r>
      <rPr>
        <sz val="9"/>
        <rFont val="Arial"/>
        <family val="2"/>
      </rPr>
      <t xml:space="preserve"> </t>
    </r>
  </si>
  <si>
    <t>*Use 100-yr precipitation of duration similar to Tc or for 10 min, whichever is larger; convert to in/hr for input as "I"</t>
  </si>
  <si>
    <t>If "PASS" record d50 and riprap thickness from Step 2 above; If "FAIL", continue below.</t>
  </si>
  <si>
    <r>
      <t>Step 5: Compute the average flow depth (y) and test if flow is contained within the thickness, t, of the riprap (i.e. t</t>
    </r>
    <r>
      <rPr>
        <u/>
        <sz val="10"/>
        <rFont val="Arial"/>
        <family val="2"/>
      </rPr>
      <t>&lt;</t>
    </r>
    <r>
      <rPr>
        <sz val="10"/>
        <rFont val="Arial"/>
        <family val="2"/>
      </rPr>
      <t>2d50):</t>
    </r>
  </si>
  <si>
    <t xml:space="preserve">Interstitial velocity, Vi. </t>
  </si>
  <si>
    <t>Step 1: Determine the overtopping depth (Eq. 3):</t>
  </si>
  <si>
    <t xml:space="preserve">Overtopping depth, H  </t>
  </si>
  <si>
    <t>Step 2: Compute smallest possible median rock size (Eq. 4):</t>
  </si>
  <si>
    <t>Step 4: Compute the interstitial and average velocity (Eq. 5 and Eq. 6):</t>
  </si>
  <si>
    <t xml:space="preserve">Average velocity, Vave </t>
  </si>
  <si>
    <t>Interstitial velocity, Vi</t>
  </si>
  <si>
    <t xml:space="preserve">If the test in Step 5 "FAILS", increase size of riprap and repeat Steps 2-5 until the design achieves a "PASS", see below: </t>
  </si>
  <si>
    <t>Average Basin Elevation  H</t>
  </si>
  <si>
    <t>Index to Terms</t>
  </si>
  <si>
    <r>
      <t>W</t>
    </r>
    <r>
      <rPr>
        <vertAlign val="subscript"/>
        <sz val="11"/>
        <rFont val="Calibri"/>
        <family val="2"/>
      </rPr>
      <t xml:space="preserve">r </t>
    </r>
  </si>
  <si>
    <t xml:space="preserve">Road width, ft. </t>
  </si>
  <si>
    <r>
      <t>S</t>
    </r>
    <r>
      <rPr>
        <vertAlign val="subscript"/>
        <sz val="11"/>
        <rFont val="Calibri"/>
        <family val="2"/>
      </rPr>
      <t xml:space="preserve">u  </t>
    </r>
  </si>
  <si>
    <t>Fillslope angle upstream, degrees</t>
  </si>
  <si>
    <r>
      <t>W</t>
    </r>
    <r>
      <rPr>
        <vertAlign val="subscript"/>
        <sz val="11"/>
        <rFont val="Calibri"/>
        <family val="2"/>
      </rPr>
      <t>c</t>
    </r>
  </si>
  <si>
    <t>Channel width, ft.</t>
  </si>
  <si>
    <r>
      <t>S</t>
    </r>
    <r>
      <rPr>
        <vertAlign val="subscript"/>
        <sz val="11"/>
        <rFont val="Calibri"/>
        <family val="2"/>
      </rPr>
      <t>d</t>
    </r>
    <r>
      <rPr>
        <sz val="11"/>
        <rFont val="Calibri"/>
        <family val="2"/>
      </rPr>
      <t xml:space="preserve"> </t>
    </r>
  </si>
  <si>
    <t>Fillslope angle downstream, degrees</t>
  </si>
  <si>
    <r>
      <t>W</t>
    </r>
    <r>
      <rPr>
        <vertAlign val="subscript"/>
        <sz val="11"/>
        <rFont val="Calibri"/>
        <family val="2"/>
      </rPr>
      <t xml:space="preserve">f </t>
    </r>
  </si>
  <si>
    <t>Fill width, ft.</t>
  </si>
  <si>
    <r>
      <t>SS</t>
    </r>
    <r>
      <rPr>
        <vertAlign val="subscript"/>
        <sz val="11"/>
        <rFont val="Calibri"/>
        <family val="2"/>
      </rPr>
      <t>l</t>
    </r>
    <r>
      <rPr>
        <sz val="11"/>
        <rFont val="Calibri"/>
        <family val="2"/>
      </rPr>
      <t xml:space="preserve"> </t>
    </r>
  </si>
  <si>
    <t>Side slope angle, left, degrees</t>
  </si>
  <si>
    <r>
      <t>W</t>
    </r>
    <r>
      <rPr>
        <vertAlign val="subscript"/>
        <sz val="11"/>
        <rFont val="Calibri"/>
        <family val="2"/>
      </rPr>
      <t>f(upstream)</t>
    </r>
  </si>
  <si>
    <t>Fill width upstream, ft.</t>
  </si>
  <si>
    <r>
      <t>SS</t>
    </r>
    <r>
      <rPr>
        <vertAlign val="subscript"/>
        <sz val="11"/>
        <rFont val="Calibri"/>
        <family val="2"/>
      </rPr>
      <t>r</t>
    </r>
    <r>
      <rPr>
        <sz val="11"/>
        <rFont val="Calibri"/>
        <family val="2"/>
      </rPr>
      <t xml:space="preserve"> </t>
    </r>
  </si>
  <si>
    <t>Side slope angle, right, degrees</t>
  </si>
  <si>
    <r>
      <t>W</t>
    </r>
    <r>
      <rPr>
        <vertAlign val="subscript"/>
        <sz val="11"/>
        <rFont val="Calibri"/>
        <family val="2"/>
      </rPr>
      <t>f(downstream)</t>
    </r>
  </si>
  <si>
    <t>Fill width downstream, ft.</t>
  </si>
  <si>
    <r>
      <t>H</t>
    </r>
    <r>
      <rPr>
        <vertAlign val="subscript"/>
        <sz val="11"/>
        <rFont val="Calibri"/>
        <family val="2"/>
      </rPr>
      <t>uac</t>
    </r>
    <r>
      <rPr>
        <sz val="11"/>
        <rFont val="Calibri"/>
        <family val="2"/>
      </rPr>
      <t xml:space="preserve"> </t>
    </r>
  </si>
  <si>
    <t>Height of fill, upstream above culvert, ft.</t>
  </si>
  <si>
    <r>
      <t>H</t>
    </r>
    <r>
      <rPr>
        <vertAlign val="subscript"/>
        <sz val="11"/>
        <rFont val="Calibri"/>
        <family val="2"/>
      </rPr>
      <t>d</t>
    </r>
    <r>
      <rPr>
        <sz val="11"/>
        <rFont val="Calibri"/>
        <family val="2"/>
      </rPr>
      <t xml:space="preserve"> </t>
    </r>
  </si>
  <si>
    <t>Height above outlet, ft.</t>
  </si>
  <si>
    <r>
      <t>H</t>
    </r>
    <r>
      <rPr>
        <vertAlign val="subscript"/>
        <sz val="11"/>
        <rFont val="Calibri"/>
        <family val="2"/>
      </rPr>
      <t>dac</t>
    </r>
    <r>
      <rPr>
        <sz val="11"/>
        <rFont val="Calibri"/>
        <family val="2"/>
      </rPr>
      <t xml:space="preserve"> </t>
    </r>
  </si>
  <si>
    <t>Height of fill, downstream above culvert, ft.</t>
  </si>
  <si>
    <r>
      <t>H</t>
    </r>
    <r>
      <rPr>
        <vertAlign val="subscript"/>
        <sz val="11"/>
        <rFont val="Calibri"/>
        <family val="2"/>
      </rPr>
      <t>u</t>
    </r>
    <r>
      <rPr>
        <sz val="11"/>
        <rFont val="Calibri"/>
        <family val="2"/>
      </rPr>
      <t xml:space="preserve"> </t>
    </r>
  </si>
  <si>
    <t>Height above inlet, ft.</t>
  </si>
  <si>
    <r>
      <t>B</t>
    </r>
    <r>
      <rPr>
        <vertAlign val="subscript"/>
        <sz val="11"/>
        <rFont val="Calibri"/>
        <family val="2"/>
      </rPr>
      <t>u</t>
    </r>
    <r>
      <rPr>
        <sz val="11"/>
        <rFont val="Calibri"/>
        <family val="2"/>
      </rPr>
      <t xml:space="preserve"> </t>
    </r>
  </si>
  <si>
    <t>Horizontal length of fill, upstream prism, ft.</t>
  </si>
  <si>
    <r>
      <t>L</t>
    </r>
    <r>
      <rPr>
        <vertAlign val="subscript"/>
        <sz val="11"/>
        <rFont val="Calibri"/>
        <family val="2"/>
      </rPr>
      <t>c</t>
    </r>
    <r>
      <rPr>
        <sz val="11"/>
        <rFont val="Calibri"/>
        <family val="2"/>
      </rPr>
      <t xml:space="preserve">  </t>
    </r>
  </si>
  <si>
    <t>Culvert length, ft.</t>
  </si>
  <si>
    <r>
      <t>B</t>
    </r>
    <r>
      <rPr>
        <vertAlign val="subscript"/>
        <sz val="11"/>
        <rFont val="Calibri"/>
        <family val="2"/>
      </rPr>
      <t>d</t>
    </r>
    <r>
      <rPr>
        <sz val="11"/>
        <rFont val="Calibri"/>
        <family val="2"/>
      </rPr>
      <t xml:space="preserve"> </t>
    </r>
  </si>
  <si>
    <t>Horizontal length of fill, downstream prism, ft.</t>
  </si>
  <si>
    <t>Key Equations</t>
  </si>
  <si>
    <t>Minimum width of rock chute, L.</t>
  </si>
  <si>
    <r>
      <t>Stone size increase</t>
    </r>
    <r>
      <rPr>
        <vertAlign val="superscript"/>
        <sz val="10"/>
        <rFont val="Albertus Medium"/>
        <family val="2"/>
      </rPr>
      <t>***</t>
    </r>
    <r>
      <rPr>
        <sz val="10"/>
        <rFont val="Arial"/>
        <family val="2"/>
      </rPr>
      <t xml:space="preserve"> (factor)</t>
    </r>
  </si>
  <si>
    <t>***Must increase size of riprap to ensure the water runs interstitially within the layer of riprap.</t>
  </si>
  <si>
    <t>Unit Discharge**, qf</t>
  </si>
  <si>
    <t>Embankment Slope angle</t>
  </si>
  <si>
    <t>Embankment Slope, S (not to exceed 0.5 ft/ft)</t>
  </si>
  <si>
    <t>Magnitude and Frequency Method for 100-year flood flow (A &gt; 50 acres)</t>
  </si>
  <si>
    <t>**Caution should be used in the event the unit flows exceed 10 cfs/ft .</t>
  </si>
  <si>
    <t>THP</t>
  </si>
  <si>
    <t>Rational Method for 100-year flood flow (A &lt; 200 acres, best &lt; 100 acres)</t>
  </si>
  <si>
    <r>
      <t>Calculating maximum fill thickness and pipe length given typical crossing geometry parameters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.  </t>
    </r>
  </si>
  <si>
    <r>
      <t>1</t>
    </r>
    <r>
      <rPr>
        <sz val="10"/>
        <rFont val="Arial"/>
        <family val="2"/>
      </rPr>
      <t>Not for design. The intended purpose is to estimate the magnitude of fill in the crossing and, in the event of failure, use it as  a proxy to the crossing's potential threat to downstream rescources.</t>
    </r>
  </si>
  <si>
    <t>H2 - Maximum thickness of fill (measured at outside edge of roadway), ft.</t>
  </si>
  <si>
    <r>
      <t xml:space="preserve">Note: Slopes armored at a 1.5:1 slope inclination shall </t>
    </r>
    <r>
      <rPr>
        <b/>
        <sz val="10"/>
        <rFont val="Arial"/>
        <family val="2"/>
      </rPr>
      <t>be less than 15 feet in height, and be constructed by placing rock in a running bond with at least 3 points of contact and with the long axis of the rock placed horizontal and facing into the slope.</t>
    </r>
  </si>
  <si>
    <t>Adapted from: Schall, J.D., P.L. Thompson, S.M. Zerges, R.T. Kilgore, and J.L. Morris. 2012. Hydraulic design of highway culverts: third edition. U.S. Department of Transportation, Federal Highway Administration. HDS-5. Publication Number HIF-12-026.  https://www.fhwa.dot.gov/engineering/hydraulics/pubs/12026/hif12026.pdf</t>
  </si>
  <si>
    <t>8/2017: See text for details on use.</t>
  </si>
  <si>
    <t>K&amp;K Culvert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</si>
</sst>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6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vertAlign val="superscript"/>
      <sz val="10"/>
      <name val="Albertus Medium"/>
      <family val="2"/>
    </font>
    <font>
      <sz val="16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color indexed="10"/>
      <name val="Arial"/>
      <family val="2"/>
    </font>
    <font>
      <b/>
      <i/>
      <sz val="12"/>
      <name val="Arial"/>
      <family val="2"/>
    </font>
    <font>
      <b/>
      <vertAlign val="subscript"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b/>
      <i/>
      <sz val="10"/>
      <name val="Arial"/>
      <family val="2"/>
    </font>
    <font>
      <i/>
      <sz val="8"/>
      <color indexed="12"/>
      <name val="Arial"/>
      <family val="2"/>
    </font>
    <font>
      <sz val="8"/>
      <color indexed="12"/>
      <name val="Arial"/>
      <family val="2"/>
    </font>
    <font>
      <b/>
      <i/>
      <sz val="9"/>
      <name val="Arial"/>
      <family val="2"/>
    </font>
    <font>
      <b/>
      <vertAlign val="subscript"/>
      <sz val="12"/>
      <name val="Arial"/>
      <family val="2"/>
    </font>
    <font>
      <b/>
      <sz val="8"/>
      <color indexed="10"/>
      <name val="Arial"/>
      <family val="2"/>
    </font>
    <font>
      <b/>
      <i/>
      <vertAlign val="subscript"/>
      <sz val="10"/>
      <name val="Arial"/>
      <family val="2"/>
    </font>
    <font>
      <sz val="9"/>
      <name val="Arial"/>
      <family val="2"/>
    </font>
    <font>
      <vertAlign val="subscript"/>
      <sz val="10"/>
      <name val="Arial"/>
      <family val="2"/>
    </font>
    <font>
      <i/>
      <sz val="9"/>
      <name val="Arial"/>
      <family val="2"/>
    </font>
    <font>
      <b/>
      <sz val="11"/>
      <name val="Calibri"/>
      <family val="2"/>
    </font>
    <font>
      <vertAlign val="subscript"/>
      <sz val="11"/>
      <name val="Calibri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5" fillId="0" borderId="0"/>
    <xf numFmtId="43" fontId="35" fillId="0" borderId="0" applyFont="0" applyFill="0" applyBorder="0" applyAlignment="0" applyProtection="0"/>
  </cellStyleXfs>
  <cellXfs count="208">
    <xf numFmtId="0" fontId="0" fillId="0" borderId="0" xfId="0"/>
    <xf numFmtId="0" fontId="1" fillId="5" borderId="2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0" xfId="0" applyFill="1"/>
    <xf numFmtId="0" fontId="0" fillId="5" borderId="8" xfId="0" applyFill="1" applyBorder="1"/>
    <xf numFmtId="0" fontId="1" fillId="5" borderId="0" xfId="0" applyFont="1" applyFill="1"/>
    <xf numFmtId="0" fontId="4" fillId="5" borderId="10" xfId="0" applyFont="1" applyFill="1" applyBorder="1"/>
    <xf numFmtId="0" fontId="0" fillId="5" borderId="7" xfId="0" applyFill="1" applyBorder="1"/>
    <xf numFmtId="164" fontId="0" fillId="5" borderId="7" xfId="0" applyNumberFormat="1" applyFill="1" applyBorder="1"/>
    <xf numFmtId="0" fontId="0" fillId="6" borderId="0" xfId="0" applyFill="1"/>
    <xf numFmtId="0" fontId="0" fillId="5" borderId="11" xfId="0" applyFill="1" applyBorder="1"/>
    <xf numFmtId="0" fontId="0" fillId="7" borderId="0" xfId="0" applyFill="1"/>
    <xf numFmtId="0" fontId="0" fillId="8" borderId="0" xfId="0" applyFill="1"/>
    <xf numFmtId="0" fontId="5" fillId="5" borderId="9" xfId="0" applyFont="1" applyFill="1" applyBorder="1"/>
    <xf numFmtId="0" fontId="0" fillId="7" borderId="11" xfId="0" applyFill="1" applyBorder="1"/>
    <xf numFmtId="164" fontId="0" fillId="7" borderId="7" xfId="0" applyNumberFormat="1" applyFill="1" applyBorder="1"/>
    <xf numFmtId="164" fontId="0" fillId="5" borderId="0" xfId="0" applyNumberFormat="1" applyFill="1"/>
    <xf numFmtId="0" fontId="0" fillId="0" borderId="11" xfId="0" applyBorder="1"/>
    <xf numFmtId="164" fontId="0" fillId="0" borderId="7" xfId="0" applyNumberFormat="1" applyBorder="1"/>
    <xf numFmtId="0" fontId="0" fillId="6" borderId="11" xfId="0" applyFill="1" applyBorder="1"/>
    <xf numFmtId="164" fontId="0" fillId="6" borderId="7" xfId="0" applyNumberFormat="1" applyFill="1" applyBorder="1"/>
    <xf numFmtId="0" fontId="0" fillId="8" borderId="11" xfId="0" applyFill="1" applyBorder="1"/>
    <xf numFmtId="164" fontId="0" fillId="8" borderId="7" xfId="0" applyNumberFormat="1" applyFill="1" applyBorder="1"/>
    <xf numFmtId="1" fontId="6" fillId="5" borderId="0" xfId="0" applyNumberFormat="1" applyFont="1" applyFill="1"/>
    <xf numFmtId="0" fontId="4" fillId="5" borderId="0" xfId="0" applyFont="1" applyFill="1"/>
    <xf numFmtId="1" fontId="6" fillId="5" borderId="5" xfId="0" applyNumberFormat="1" applyFont="1" applyFill="1" applyBorder="1"/>
    <xf numFmtId="0" fontId="4" fillId="5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/>
    <xf numFmtId="0" fontId="0" fillId="0" borderId="7" xfId="0" applyBorder="1"/>
    <xf numFmtId="0" fontId="0" fillId="0" borderId="0" xfId="0" applyAlignment="1">
      <alignment vertical="top" wrapText="1"/>
    </xf>
    <xf numFmtId="1" fontId="0" fillId="12" borderId="11" xfId="0" applyNumberFormat="1" applyFill="1" applyBorder="1"/>
    <xf numFmtId="1" fontId="0" fillId="0" borderId="0" xfId="0" applyNumberFormat="1"/>
    <xf numFmtId="164" fontId="0" fillId="0" borderId="0" xfId="0" applyNumberFormat="1" applyAlignment="1">
      <alignment horizontal="center"/>
    </xf>
    <xf numFmtId="0" fontId="30" fillId="0" borderId="0" xfId="0" applyFont="1"/>
    <xf numFmtId="0" fontId="30" fillId="0" borderId="0" xfId="0" applyFont="1" applyAlignment="1">
      <alignment wrapText="1"/>
    </xf>
    <xf numFmtId="0" fontId="0" fillId="0" borderId="9" xfId="0" applyBorder="1" applyAlignment="1">
      <alignment horizontal="center" vertical="center" textRotation="90"/>
    </xf>
    <xf numFmtId="0" fontId="4" fillId="2" borderId="0" xfId="0" applyFont="1" applyFill="1" applyAlignment="1">
      <alignment horizontal="center"/>
    </xf>
    <xf numFmtId="165" fontId="0" fillId="5" borderId="0" xfId="0" applyNumberFormat="1" applyFill="1"/>
    <xf numFmtId="2" fontId="0" fillId="5" borderId="0" xfId="0" applyNumberFormat="1" applyFill="1"/>
    <xf numFmtId="0" fontId="0" fillId="5" borderId="9" xfId="0" applyFill="1" applyBorder="1" applyAlignment="1">
      <alignment vertical="center" wrapText="1"/>
    </xf>
    <xf numFmtId="2" fontId="6" fillId="5" borderId="0" xfId="0" applyNumberFormat="1" applyFont="1" applyFill="1"/>
    <xf numFmtId="0" fontId="0" fillId="5" borderId="0" xfId="0" applyFill="1" applyAlignment="1">
      <alignment horizontal="right"/>
    </xf>
    <xf numFmtId="0" fontId="7" fillId="5" borderId="0" xfId="0" applyFont="1" applyFill="1"/>
    <xf numFmtId="0" fontId="4" fillId="5" borderId="0" xfId="0" applyFont="1" applyFill="1" applyAlignment="1">
      <alignment horizontal="center"/>
    </xf>
    <xf numFmtId="0" fontId="1" fillId="5" borderId="5" xfId="0" applyFont="1" applyFill="1" applyBorder="1"/>
    <xf numFmtId="164" fontId="6" fillId="5" borderId="0" xfId="0" applyNumberFormat="1" applyFont="1" applyFill="1"/>
    <xf numFmtId="164" fontId="6" fillId="5" borderId="5" xfId="0" applyNumberFormat="1" applyFont="1" applyFill="1" applyBorder="1"/>
    <xf numFmtId="0" fontId="0" fillId="5" borderId="0" xfId="0" applyFill="1" applyAlignment="1">
      <alignment vertical="center"/>
    </xf>
    <xf numFmtId="0" fontId="13" fillId="5" borderId="0" xfId="0" applyFont="1" applyFill="1"/>
    <xf numFmtId="0" fontId="12" fillId="5" borderId="0" xfId="0" applyFont="1" applyFill="1"/>
    <xf numFmtId="0" fontId="12" fillId="5" borderId="0" xfId="0" applyFont="1" applyFill="1" applyAlignment="1">
      <alignment vertical="center"/>
    </xf>
    <xf numFmtId="0" fontId="1" fillId="5" borderId="0" xfId="0" applyFont="1" applyFill="1" applyAlignment="1">
      <alignment horizontal="left" wrapText="1"/>
    </xf>
    <xf numFmtId="0" fontId="0" fillId="4" borderId="0" xfId="0" applyFill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0" fillId="11" borderId="11" xfId="0" applyFill="1" applyBorder="1" applyProtection="1">
      <protection locked="0"/>
    </xf>
    <xf numFmtId="0" fontId="3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16" fillId="5" borderId="0" xfId="0" applyFont="1" applyFill="1"/>
    <xf numFmtId="0" fontId="11" fillId="5" borderId="0" xfId="0" applyFont="1" applyFill="1"/>
    <xf numFmtId="0" fontId="17" fillId="5" borderId="0" xfId="0" applyFont="1" applyFill="1"/>
    <xf numFmtId="0" fontId="4" fillId="5" borderId="19" xfId="0" applyFont="1" applyFill="1" applyBorder="1" applyAlignment="1">
      <alignment horizontal="center"/>
    </xf>
    <xf numFmtId="0" fontId="19" fillId="5" borderId="20" xfId="0" applyFont="1" applyFill="1" applyBorder="1" applyAlignment="1">
      <alignment horizontal="center"/>
    </xf>
    <xf numFmtId="0" fontId="19" fillId="5" borderId="21" xfId="0" applyFont="1" applyFill="1" applyBorder="1" applyAlignment="1">
      <alignment horizontal="center" wrapText="1"/>
    </xf>
    <xf numFmtId="0" fontId="19" fillId="5" borderId="22" xfId="0" applyFont="1" applyFill="1" applyBorder="1" applyAlignment="1">
      <alignment horizontal="center" wrapText="1"/>
    </xf>
    <xf numFmtId="0" fontId="4" fillId="5" borderId="22" xfId="0" applyFont="1" applyFill="1" applyBorder="1" applyAlignment="1">
      <alignment horizont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52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23" fillId="5" borderId="26" xfId="0" applyFont="1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165" fontId="0" fillId="5" borderId="7" xfId="0" applyNumberFormat="1" applyFill="1" applyBorder="1" applyAlignment="1">
      <alignment horizontal="center" wrapText="1"/>
    </xf>
    <xf numFmtId="0" fontId="0" fillId="5" borderId="28" xfId="0" applyFill="1" applyBorder="1" applyAlignment="1">
      <alignment horizontal="center"/>
    </xf>
    <xf numFmtId="164" fontId="23" fillId="5" borderId="29" xfId="0" applyNumberFormat="1" applyFont="1" applyFill="1" applyBorder="1" applyAlignment="1">
      <alignment horizontal="center"/>
    </xf>
    <xf numFmtId="164" fontId="23" fillId="5" borderId="7" xfId="0" applyNumberFormat="1" applyFont="1" applyFill="1" applyBorder="1" applyAlignment="1">
      <alignment horizontal="center"/>
    </xf>
    <xf numFmtId="164" fontId="23" fillId="5" borderId="58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30" xfId="0" applyFill="1" applyBorder="1" applyAlignment="1">
      <alignment horizontal="center"/>
    </xf>
    <xf numFmtId="0" fontId="23" fillId="5" borderId="31" xfId="0" applyFont="1" applyFill="1" applyBorder="1" applyAlignment="1" applyProtection="1">
      <alignment horizontal="center"/>
      <protection locked="0"/>
    </xf>
    <xf numFmtId="164" fontId="23" fillId="5" borderId="49" xfId="0" applyNumberFormat="1" applyFont="1" applyFill="1" applyBorder="1" applyAlignment="1">
      <alignment horizontal="center"/>
    </xf>
    <xf numFmtId="165" fontId="0" fillId="5" borderId="11" xfId="0" applyNumberFormat="1" applyFill="1" applyBorder="1" applyAlignment="1">
      <alignment horizontal="center" wrapText="1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32" xfId="0" applyFill="1" applyBorder="1" applyAlignment="1">
      <alignment horizontal="center"/>
    </xf>
    <xf numFmtId="0" fontId="23" fillId="5" borderId="33" xfId="0" applyFont="1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165" fontId="0" fillId="5" borderId="10" xfId="0" applyNumberFormat="1" applyFill="1" applyBorder="1" applyAlignment="1">
      <alignment horizontal="center" wrapText="1"/>
    </xf>
    <xf numFmtId="164" fontId="23" fillId="5" borderId="24" xfId="0" applyNumberFormat="1" applyFont="1" applyFill="1" applyBorder="1" applyAlignment="1">
      <alignment horizontal="center"/>
    </xf>
    <xf numFmtId="164" fontId="23" fillId="5" borderId="10" xfId="0" applyNumberFormat="1" applyFont="1" applyFill="1" applyBorder="1" applyAlignment="1">
      <alignment horizontal="center"/>
    </xf>
    <xf numFmtId="164" fontId="23" fillId="5" borderId="52" xfId="0" applyNumberFormat="1" applyFont="1" applyFill="1" applyBorder="1" applyAlignment="1">
      <alignment horizontal="center"/>
    </xf>
    <xf numFmtId="0" fontId="26" fillId="5" borderId="0" xfId="0" applyFont="1" applyFill="1" applyAlignment="1">
      <alignment vertical="center"/>
    </xf>
    <xf numFmtId="0" fontId="0" fillId="5" borderId="35" xfId="0" applyFill="1" applyBorder="1"/>
    <xf numFmtId="0" fontId="4" fillId="5" borderId="36" xfId="0" applyFont="1" applyFill="1" applyBorder="1" applyAlignment="1">
      <alignment horizontal="center"/>
    </xf>
    <xf numFmtId="0" fontId="19" fillId="5" borderId="37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25" xfId="0" applyFont="1" applyFill="1" applyBorder="1" applyAlignment="1">
      <alignment horizontal="center" wrapText="1"/>
    </xf>
    <xf numFmtId="0" fontId="19" fillId="5" borderId="38" xfId="0" applyFont="1" applyFill="1" applyBorder="1" applyAlignment="1">
      <alignment horizontal="center" wrapText="1"/>
    </xf>
    <xf numFmtId="0" fontId="19" fillId="5" borderId="13" xfId="0" applyFont="1" applyFill="1" applyBorder="1" applyAlignment="1">
      <alignment horizontal="center" wrapText="1"/>
    </xf>
    <xf numFmtId="0" fontId="4" fillId="5" borderId="39" xfId="0" applyFont="1" applyFill="1" applyBorder="1" applyAlignment="1">
      <alignment horizontal="center" wrapText="1"/>
    </xf>
    <xf numFmtId="0" fontId="4" fillId="5" borderId="40" xfId="0" applyFont="1" applyFill="1" applyBorder="1" applyAlignment="1">
      <alignment horizontal="center"/>
    </xf>
    <xf numFmtId="0" fontId="19" fillId="5" borderId="41" xfId="0" applyFont="1" applyFill="1" applyBorder="1" applyAlignment="1">
      <alignment horizontal="center" wrapText="1"/>
    </xf>
    <xf numFmtId="0" fontId="4" fillId="5" borderId="41" xfId="0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 wrapText="1"/>
    </xf>
    <xf numFmtId="0" fontId="19" fillId="5" borderId="43" xfId="0" applyFont="1" applyFill="1" applyBorder="1" applyAlignment="1">
      <alignment horizontal="center" wrapText="1"/>
    </xf>
    <xf numFmtId="0" fontId="19" fillId="5" borderId="44" xfId="0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0" fontId="23" fillId="5" borderId="30" xfId="0" applyFont="1" applyFill="1" applyBorder="1"/>
    <xf numFmtId="0" fontId="30" fillId="5" borderId="30" xfId="0" applyFont="1" applyFill="1" applyBorder="1"/>
    <xf numFmtId="0" fontId="30" fillId="5" borderId="46" xfId="0" applyFont="1" applyFill="1" applyBorder="1"/>
    <xf numFmtId="0" fontId="0" fillId="5" borderId="7" xfId="0" applyFill="1" applyBorder="1" applyAlignment="1" applyProtection="1">
      <alignment horizontal="center" vertical="top"/>
      <protection locked="0"/>
    </xf>
    <xf numFmtId="0" fontId="0" fillId="5" borderId="46" xfId="0" applyFill="1" applyBorder="1" applyAlignment="1">
      <alignment horizontal="center" vertical="top"/>
    </xf>
    <xf numFmtId="1" fontId="11" fillId="5" borderId="47" xfId="0" applyNumberFormat="1" applyFont="1" applyFill="1" applyBorder="1" applyAlignment="1">
      <alignment horizontal="center"/>
    </xf>
    <xf numFmtId="0" fontId="0" fillId="5" borderId="29" xfId="0" applyFill="1" applyBorder="1" applyAlignment="1" applyProtection="1">
      <alignment horizontal="center" vertical="top"/>
      <protection locked="0"/>
    </xf>
    <xf numFmtId="0" fontId="0" fillId="5" borderId="47" xfId="0" applyFill="1" applyBorder="1" applyAlignment="1">
      <alignment horizontal="center"/>
    </xf>
    <xf numFmtId="164" fontId="23" fillId="5" borderId="48" xfId="0" applyNumberFormat="1" applyFont="1" applyFill="1" applyBorder="1" applyAlignment="1">
      <alignment horizontal="center"/>
    </xf>
    <xf numFmtId="0" fontId="4" fillId="5" borderId="0" xfId="0" applyFont="1" applyFill="1" applyAlignment="1">
      <alignment horizontal="right"/>
    </xf>
    <xf numFmtId="0" fontId="30" fillId="5" borderId="0" xfId="0" applyFont="1" applyFill="1"/>
    <xf numFmtId="0" fontId="30" fillId="5" borderId="14" xfId="0" applyFont="1" applyFill="1" applyBorder="1"/>
    <xf numFmtId="1" fontId="11" fillId="5" borderId="49" xfId="0" applyNumberFormat="1" applyFont="1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164" fontId="23" fillId="5" borderId="31" xfId="0" applyNumberFormat="1" applyFont="1" applyFill="1" applyBorder="1" applyAlignment="1">
      <alignment horizontal="center"/>
    </xf>
    <xf numFmtId="0" fontId="30" fillId="5" borderId="14" xfId="0" applyFont="1" applyFill="1" applyBorder="1" applyAlignment="1">
      <alignment wrapText="1"/>
    </xf>
    <xf numFmtId="0" fontId="4" fillId="5" borderId="12" xfId="0" applyFont="1" applyFill="1" applyBorder="1" applyAlignment="1">
      <alignment horizontal="right"/>
    </xf>
    <xf numFmtId="0" fontId="30" fillId="5" borderId="12" xfId="0" applyFont="1" applyFill="1" applyBorder="1"/>
    <xf numFmtId="0" fontId="30" fillId="5" borderId="27" xfId="0" applyFont="1" applyFill="1" applyBorder="1"/>
    <xf numFmtId="164" fontId="23" fillId="5" borderId="50" xfId="0" applyNumberFormat="1" applyFont="1" applyFill="1" applyBorder="1" applyAlignment="1">
      <alignment horizontal="center"/>
    </xf>
    <xf numFmtId="0" fontId="0" fillId="5" borderId="24" xfId="0" applyFill="1" applyBorder="1" applyAlignment="1" applyProtection="1">
      <alignment horizontal="center" vertical="top"/>
      <protection locked="0"/>
    </xf>
    <xf numFmtId="0" fontId="0" fillId="5" borderId="51" xfId="0" applyFill="1" applyBorder="1" applyAlignment="1">
      <alignment horizontal="center" vertical="top"/>
    </xf>
    <xf numFmtId="1" fontId="11" fillId="5" borderId="52" xfId="0" applyNumberFormat="1" applyFont="1" applyFill="1" applyBorder="1" applyAlignment="1">
      <alignment horizontal="center"/>
    </xf>
    <xf numFmtId="0" fontId="0" fillId="5" borderId="10" xfId="0" applyFill="1" applyBorder="1" applyAlignment="1" applyProtection="1">
      <alignment horizontal="center" vertical="top"/>
      <protection locked="0"/>
    </xf>
    <xf numFmtId="0" fontId="0" fillId="5" borderId="52" xfId="0" applyFill="1" applyBorder="1" applyAlignment="1">
      <alignment horizontal="center"/>
    </xf>
    <xf numFmtId="164" fontId="23" fillId="5" borderId="53" xfId="0" applyNumberFormat="1" applyFont="1" applyFill="1" applyBorder="1" applyAlignment="1">
      <alignment horizontal="center"/>
    </xf>
    <xf numFmtId="0" fontId="32" fillId="5" borderId="0" xfId="0" applyFont="1" applyFill="1" applyAlignment="1">
      <alignment horizontal="left"/>
    </xf>
    <xf numFmtId="15" fontId="32" fillId="5" borderId="0" xfId="0" applyNumberFormat="1" applyFont="1" applyFill="1" applyAlignment="1">
      <alignment horizontal="left"/>
    </xf>
    <xf numFmtId="0" fontId="30" fillId="5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164" fontId="0" fillId="12" borderId="11" xfId="0" applyNumberFormat="1" applyFill="1" applyBorder="1" applyAlignment="1">
      <alignment vertical="center"/>
    </xf>
    <xf numFmtId="0" fontId="35" fillId="0" borderId="0" xfId="2"/>
    <xf numFmtId="164" fontId="0" fillId="0" borderId="0" xfId="0" applyNumberFormat="1" applyAlignment="1">
      <alignment vertical="center"/>
    </xf>
    <xf numFmtId="17" fontId="0" fillId="5" borderId="0" xfId="0" applyNumberFormat="1" applyFill="1"/>
    <xf numFmtId="0" fontId="0" fillId="0" borderId="0" xfId="0" applyAlignment="1">
      <alignment horizontal="left"/>
    </xf>
    <xf numFmtId="0" fontId="0" fillId="0" borderId="0" xfId="2" applyFont="1"/>
    <xf numFmtId="0" fontId="24" fillId="5" borderId="34" xfId="0" applyFont="1" applyFill="1" applyBorder="1" applyAlignment="1">
      <alignment horizontal="center"/>
    </xf>
    <xf numFmtId="0" fontId="24" fillId="5" borderId="34" xfId="0" applyFont="1" applyFill="1" applyBorder="1"/>
    <xf numFmtId="0" fontId="32" fillId="5" borderId="0" xfId="0" applyFont="1" applyFill="1" applyAlignment="1">
      <alignment horizontal="center"/>
    </xf>
    <xf numFmtId="0" fontId="30" fillId="5" borderId="0" xfId="0" applyFont="1" applyFill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0" fillId="5" borderId="17" xfId="0" applyFill="1" applyBorder="1"/>
    <xf numFmtId="0" fontId="0" fillId="5" borderId="18" xfId="0" applyFill="1" applyBorder="1"/>
    <xf numFmtId="0" fontId="24" fillId="5" borderId="34" xfId="0" applyFont="1" applyFill="1" applyBorder="1" applyAlignment="1">
      <alignment vertical="top" wrapText="1"/>
    </xf>
    <xf numFmtId="0" fontId="25" fillId="5" borderId="34" xfId="0" applyFont="1" applyFill="1" applyBorder="1" applyAlignment="1">
      <alignment vertical="top" wrapText="1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11" fillId="5" borderId="15" xfId="0" applyFont="1" applyFill="1" applyBorder="1" applyAlignment="1">
      <alignment vertical="center" wrapText="1"/>
    </xf>
    <xf numFmtId="0" fontId="0" fillId="5" borderId="15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4" fillId="0" borderId="0" xfId="2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 textRotation="90" wrapText="1"/>
    </xf>
    <xf numFmtId="0" fontId="4" fillId="9" borderId="4" xfId="0" applyFont="1" applyFill="1" applyBorder="1" applyAlignment="1">
      <alignment horizontal="center" vertical="center" textRotation="90" wrapText="1"/>
    </xf>
    <xf numFmtId="0" fontId="0" fillId="10" borderId="30" xfId="0" applyFill="1" applyBorder="1" applyAlignment="1">
      <alignment horizontal="left"/>
    </xf>
    <xf numFmtId="0" fontId="0" fillId="10" borderId="57" xfId="0" applyFill="1" applyBorder="1" applyAlignment="1">
      <alignment horizontal="left"/>
    </xf>
    <xf numFmtId="0" fontId="0" fillId="5" borderId="0" xfId="0" applyFill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55" xfId="0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4" fillId="5" borderId="7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center" wrapText="1"/>
    </xf>
    <xf numFmtId="0" fontId="0" fillId="0" borderId="5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</cellXfs>
  <cellStyles count="4">
    <cellStyle name="Comma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97462817147858"/>
          <c:y val="0.16977853813582977"/>
          <c:w val="0.67165026246719162"/>
          <c:h val="0.64801880273381529"/>
        </c:manualLayout>
      </c:layout>
      <c:scatterChart>
        <c:scatterStyle val="smoothMarker"/>
        <c:varyColors val="0"/>
        <c:ser>
          <c:idx val="0"/>
          <c:order val="0"/>
          <c:tx>
            <c:v>2:1</c:v>
          </c:tx>
          <c:marker>
            <c:symbol val="none"/>
          </c:marker>
          <c:xVal>
            <c:numRef>
              <c:f>'[1]Comparison Table 2x active'!$D$3:$D$11</c:f>
              <c:numCache>
                <c:formatCode>General</c:formatCode>
                <c:ptCount val="9"/>
                <c:pt idx="0">
                  <c:v>0</c:v>
                </c:pt>
                <c:pt idx="1">
                  <c:v>0.92</c:v>
                </c:pt>
                <c:pt idx="2">
                  <c:v>1.2</c:v>
                </c:pt>
                <c:pt idx="3">
                  <c:v>1.47</c:v>
                </c:pt>
                <c:pt idx="4">
                  <c:v>1.8</c:v>
                </c:pt>
                <c:pt idx="5">
                  <c:v>2.1</c:v>
                </c:pt>
                <c:pt idx="6">
                  <c:v>2.2999999999999998</c:v>
                </c:pt>
                <c:pt idx="7">
                  <c:v>2.6</c:v>
                </c:pt>
                <c:pt idx="8">
                  <c:v>3.2</c:v>
                </c:pt>
              </c:numCache>
            </c:numRef>
          </c:xVal>
          <c:yVal>
            <c:numRef>
              <c:f>'[1]Comparison Table 2x active'!$B$3:$B$11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48-4606-89D9-F847C8D957B3}"/>
            </c:ext>
          </c:extLst>
        </c:ser>
        <c:ser>
          <c:idx val="1"/>
          <c:order val="1"/>
          <c:tx>
            <c:v>3:1</c:v>
          </c:tx>
          <c:marker>
            <c:symbol val="none"/>
          </c:marker>
          <c:xVal>
            <c:numRef>
              <c:f>'[1]Comparison Table 2x active'!$D$16:$D$24</c:f>
              <c:numCache>
                <c:formatCode>General</c:formatCode>
                <c:ptCount val="9"/>
                <c:pt idx="0">
                  <c:v>0</c:v>
                </c:pt>
                <c:pt idx="1">
                  <c:v>0.7</c:v>
                </c:pt>
                <c:pt idx="2">
                  <c:v>0.9</c:v>
                </c:pt>
                <c:pt idx="3">
                  <c:v>1.1000000000000001</c:v>
                </c:pt>
                <c:pt idx="4">
                  <c:v>1.3</c:v>
                </c:pt>
                <c:pt idx="5">
                  <c:v>1.5</c:v>
                </c:pt>
                <c:pt idx="6">
                  <c:v>1.7</c:v>
                </c:pt>
                <c:pt idx="7">
                  <c:v>1.9</c:v>
                </c:pt>
                <c:pt idx="8">
                  <c:v>2.2000000000000002</c:v>
                </c:pt>
              </c:numCache>
            </c:numRef>
          </c:xVal>
          <c:yVal>
            <c:numRef>
              <c:f>'[1]Comparison Table 2x active'!$B$16:$B$24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148-4606-89D9-F847C8D957B3}"/>
            </c:ext>
          </c:extLst>
        </c:ser>
        <c:ser>
          <c:idx val="2"/>
          <c:order val="2"/>
          <c:tx>
            <c:v>1.5:1</c:v>
          </c:tx>
          <c:marker>
            <c:symbol val="none"/>
          </c:marker>
          <c:xVal>
            <c:numRef>
              <c:f>'[1]Comparison Table 2x active'!$D$29:$D$37</c:f>
              <c:numCache>
                <c:formatCode>General</c:formatCode>
                <c:ptCount val="9"/>
                <c:pt idx="0">
                  <c:v>0</c:v>
                </c:pt>
                <c:pt idx="1">
                  <c:v>1.1960000000000002</c:v>
                </c:pt>
                <c:pt idx="2">
                  <c:v>1.56</c:v>
                </c:pt>
                <c:pt idx="3">
                  <c:v>1.911</c:v>
                </c:pt>
                <c:pt idx="4">
                  <c:v>2.3400000000000003</c:v>
                </c:pt>
                <c:pt idx="5">
                  <c:v>2.7300000000000004</c:v>
                </c:pt>
                <c:pt idx="6">
                  <c:v>2.9899999999999998</c:v>
                </c:pt>
                <c:pt idx="7">
                  <c:v>3.3800000000000003</c:v>
                </c:pt>
                <c:pt idx="8">
                  <c:v>4.16</c:v>
                </c:pt>
              </c:numCache>
            </c:numRef>
          </c:xVal>
          <c:yVal>
            <c:numRef>
              <c:f>'[1]Comparison Table 2x active'!$B$29:$B$37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148-4606-89D9-F847C8D95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06576"/>
        <c:axId val="1"/>
      </c:scatterChart>
      <c:valAx>
        <c:axId val="401206576"/>
        <c:scaling>
          <c:orientation val="minMax"/>
          <c:max val="4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(a) Riprap mean diameter (D50), ft.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  <c:majorUnit val="0.5"/>
        <c:minorUnit val="0.1"/>
      </c:valAx>
      <c:valAx>
        <c:axId val="1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Discharge (Q100), ft^3/sec.</a:t>
                </a:r>
              </a:p>
            </c:rich>
          </c:tx>
          <c:overlay val="0"/>
        </c:title>
        <c:numFmt formatCode="General" sourceLinked="1"/>
        <c:majorTickMark val="out"/>
        <c:minorTickMark val="in"/>
        <c:tickLblPos val="nextTo"/>
        <c:crossAx val="401206576"/>
        <c:crosses val="autoZero"/>
        <c:crossBetween val="midCat"/>
        <c:majorUnit val="10"/>
        <c:minorUnit val="5"/>
      </c:valAx>
    </c:plotArea>
    <c:legend>
      <c:legendPos val="r"/>
      <c:layout>
        <c:manualLayout>
          <c:xMode val="edge"/>
          <c:yMode val="edge"/>
          <c:x val="0.82641446697401155"/>
          <c:y val="0.3852594459865179"/>
          <c:w val="0.15278262820774346"/>
          <c:h val="0.2192700957344360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897017418277261E-2"/>
          <c:y val="0.16862183058817584"/>
          <c:w val="0.54473109043187784"/>
          <c:h val="0.68177191867667308"/>
        </c:manualLayout>
      </c:layout>
      <c:scatterChart>
        <c:scatterStyle val="smoothMarker"/>
        <c:varyColors val="0"/>
        <c:ser>
          <c:idx val="0"/>
          <c:order val="0"/>
          <c:tx>
            <c:v>2:1</c:v>
          </c:tx>
          <c:marker>
            <c:symbol val="none"/>
          </c:marker>
          <c:xVal>
            <c:numRef>
              <c:f>'[1]Comparison Table 2x active'!$E$3:$E$11</c:f>
              <c:numCache>
                <c:formatCode>General</c:formatCode>
                <c:ptCount val="9"/>
                <c:pt idx="0">
                  <c:v>0</c:v>
                </c:pt>
                <c:pt idx="1">
                  <c:v>1.84</c:v>
                </c:pt>
                <c:pt idx="2">
                  <c:v>2.4</c:v>
                </c:pt>
                <c:pt idx="3">
                  <c:v>2.94</c:v>
                </c:pt>
                <c:pt idx="4">
                  <c:v>3.6</c:v>
                </c:pt>
                <c:pt idx="5">
                  <c:v>4.2</c:v>
                </c:pt>
                <c:pt idx="6">
                  <c:v>4.5999999999999996</c:v>
                </c:pt>
                <c:pt idx="7">
                  <c:v>5.2</c:v>
                </c:pt>
                <c:pt idx="8">
                  <c:v>6.4</c:v>
                </c:pt>
              </c:numCache>
            </c:numRef>
          </c:xVal>
          <c:yVal>
            <c:numRef>
              <c:f>'[1]Comparison Table 2x active'!$B$3:$B$11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92F-448B-A19B-D0969E2E3655}"/>
            </c:ext>
          </c:extLst>
        </c:ser>
        <c:ser>
          <c:idx val="1"/>
          <c:order val="1"/>
          <c:tx>
            <c:v>3:1</c:v>
          </c:tx>
          <c:marker>
            <c:symbol val="none"/>
          </c:marker>
          <c:xVal>
            <c:numRef>
              <c:f>'[1]Comparison Table 2x active'!$E$16:$E$24</c:f>
              <c:numCache>
                <c:formatCode>General</c:formatCode>
                <c:ptCount val="9"/>
                <c:pt idx="0">
                  <c:v>0</c:v>
                </c:pt>
                <c:pt idx="1">
                  <c:v>1.4</c:v>
                </c:pt>
                <c:pt idx="2">
                  <c:v>1.8</c:v>
                </c:pt>
                <c:pt idx="3">
                  <c:v>2.2000000000000002</c:v>
                </c:pt>
                <c:pt idx="4">
                  <c:v>2.6</c:v>
                </c:pt>
                <c:pt idx="5">
                  <c:v>3</c:v>
                </c:pt>
                <c:pt idx="6">
                  <c:v>3.4</c:v>
                </c:pt>
                <c:pt idx="7">
                  <c:v>3.8</c:v>
                </c:pt>
                <c:pt idx="8">
                  <c:v>4.4000000000000004</c:v>
                </c:pt>
              </c:numCache>
            </c:numRef>
          </c:xVal>
          <c:yVal>
            <c:numRef>
              <c:f>'[1]Comparison Table 2x active'!$B$16:$B$24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92F-448B-A19B-D0969E2E3655}"/>
            </c:ext>
          </c:extLst>
        </c:ser>
        <c:ser>
          <c:idx val="2"/>
          <c:order val="2"/>
          <c:tx>
            <c:v>1.5:1</c:v>
          </c:tx>
          <c:marker>
            <c:symbol val="none"/>
          </c:marker>
          <c:xVal>
            <c:numRef>
              <c:f>'[1]Comparison Table 2x active'!$E$29:$E$37</c:f>
              <c:numCache>
                <c:formatCode>General</c:formatCode>
                <c:ptCount val="9"/>
                <c:pt idx="0">
                  <c:v>0</c:v>
                </c:pt>
                <c:pt idx="1">
                  <c:v>2.3920000000000003</c:v>
                </c:pt>
                <c:pt idx="2">
                  <c:v>3.12</c:v>
                </c:pt>
                <c:pt idx="3">
                  <c:v>3.8220000000000001</c:v>
                </c:pt>
                <c:pt idx="4">
                  <c:v>4.6800000000000006</c:v>
                </c:pt>
                <c:pt idx="5">
                  <c:v>5.4600000000000009</c:v>
                </c:pt>
                <c:pt idx="6">
                  <c:v>5.9799999999999995</c:v>
                </c:pt>
                <c:pt idx="7">
                  <c:v>6.7600000000000007</c:v>
                </c:pt>
                <c:pt idx="8">
                  <c:v>8.32</c:v>
                </c:pt>
              </c:numCache>
            </c:numRef>
          </c:xVal>
          <c:yVal>
            <c:numRef>
              <c:f>'[1]Comparison Table 2x active'!$B$29:$B$37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92F-448B-A19B-D0969E2E3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3808"/>
        <c:axId val="1"/>
      </c:scatterChart>
      <c:valAx>
        <c:axId val="566433808"/>
        <c:scaling>
          <c:orientation val="minMax"/>
          <c:max val="9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(b) Riprap thickness normal to slope face, ft.</a:t>
                </a:r>
              </a:p>
            </c:rich>
          </c:tx>
          <c:layout>
            <c:manualLayout>
              <c:xMode val="edge"/>
              <c:yMode val="edge"/>
              <c:x val="3.2821922683393387E-2"/>
              <c:y val="2.3852939435202176E-2"/>
            </c:manualLayout>
          </c:layout>
          <c:overlay val="0"/>
        </c:title>
        <c:numFmt formatCode="General" sourceLinked="1"/>
        <c:majorTickMark val="cross"/>
        <c:minorTickMark val="out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100"/>
        <c:crossBetween val="midCat"/>
        <c:majorUnit val="1"/>
        <c:minorUnit val="0.2"/>
      </c:valAx>
      <c:valAx>
        <c:axId val="1"/>
        <c:scaling>
          <c:orientation val="minMax"/>
          <c:max val="100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566433808"/>
        <c:crosses val="autoZero"/>
        <c:crossBetween val="midCat"/>
        <c:majorUnit val="10"/>
        <c:minorUnit val="5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708223972003499E-2"/>
          <c:y val="0.23641178186060074"/>
          <c:w val="0.61476661992593395"/>
          <c:h val="0.55709795534817419"/>
        </c:manualLayout>
      </c:layout>
      <c:scatterChart>
        <c:scatterStyle val="smoothMarker"/>
        <c:varyColors val="0"/>
        <c:ser>
          <c:idx val="0"/>
          <c:order val="0"/>
          <c:tx>
            <c:v>Minimum chute depth, ft.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'[1]Comparison Table 2x active'!$F$3:$F$11</c:f>
              <c:numCache>
                <c:formatCode>General</c:formatCode>
                <c:ptCount val="9"/>
                <c:pt idx="0">
                  <c:v>0</c:v>
                </c:pt>
                <c:pt idx="1">
                  <c:v>0.56308670150061113</c:v>
                </c:pt>
                <c:pt idx="2">
                  <c:v>0.79154286240438498</c:v>
                </c:pt>
                <c:pt idx="3">
                  <c:v>1.0372145723968844</c:v>
                </c:pt>
                <c:pt idx="4">
                  <c:v>1.3389249187401651</c:v>
                </c:pt>
                <c:pt idx="5">
                  <c:v>1.6158422860318098</c:v>
                </c:pt>
                <c:pt idx="6">
                  <c:v>1.8494208502008758</c:v>
                </c:pt>
                <c:pt idx="7">
                  <c:v>2.1574932530764572</c:v>
                </c:pt>
                <c:pt idx="8">
                  <c:v>2.4829011730871491</c:v>
                </c:pt>
              </c:numCache>
            </c:numRef>
          </c:xVal>
          <c:yVal>
            <c:numRef>
              <c:f>'[1]Comparison Table 2x active'!$B$3:$B$11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0E-407F-B539-D3C27EA1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41584"/>
        <c:axId val="1"/>
      </c:scatterChart>
      <c:valAx>
        <c:axId val="566441584"/>
        <c:scaling>
          <c:orientation val="minMax"/>
          <c:max val="3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(d)</a:t>
                </a:r>
                <a:r>
                  <a:rPr lang="en-US" sz="1200" baseline="0"/>
                  <a:t> </a:t>
                </a:r>
                <a:r>
                  <a:rPr lang="en-US" sz="1200"/>
                  <a:t>Minimum chute depth, ft.</a:t>
                </a:r>
              </a:p>
            </c:rich>
          </c:tx>
          <c:layout>
            <c:manualLayout>
              <c:xMode val="edge"/>
              <c:yMode val="edge"/>
              <c:x val="5.8524559430071232E-2"/>
              <c:y val="0.12224232106121871"/>
            </c:manualLayout>
          </c:layout>
          <c:overlay val="0"/>
        </c:title>
        <c:numFmt formatCode="General" sourceLinked="1"/>
        <c:majorTickMark val="cross"/>
        <c:minorTickMark val="out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100"/>
        <c:crossBetween val="midCat"/>
        <c:majorUnit val="0.5"/>
        <c:minorUnit val="0.1"/>
      </c:valAx>
      <c:valAx>
        <c:axId val="1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Discharge (Q100), ft^3/sec.</a:t>
                </a:r>
              </a:p>
            </c:rich>
          </c:tx>
          <c:layout>
            <c:manualLayout>
              <c:xMode val="edge"/>
              <c:yMode val="edge"/>
              <c:x val="0.7493532058492689"/>
              <c:y val="0.31912298124896549"/>
            </c:manualLayout>
          </c:layout>
          <c:overlay val="0"/>
        </c:title>
        <c:numFmt formatCode="General" sourceLinked="1"/>
        <c:majorTickMark val="in"/>
        <c:minorTickMark val="out"/>
        <c:tickLblPos val="high"/>
        <c:crossAx val="566441584"/>
        <c:crossesAt val="3.5"/>
        <c:crossBetween val="midCat"/>
        <c:majorUnit val="10"/>
        <c:minorUnit val="5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27211967356537E-2"/>
          <c:y val="0.16049158052702792"/>
          <c:w val="0.82440801457194901"/>
          <c:h val="0.67737745243854364"/>
        </c:manualLayout>
      </c:layout>
      <c:scatterChart>
        <c:scatterStyle val="smoothMarker"/>
        <c:varyColors val="0"/>
        <c:ser>
          <c:idx val="0"/>
          <c:order val="0"/>
          <c:tx>
            <c:v>Minimum chute width, ft.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'[1]Comparison Table 2x active'!$C$3:$C$11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'[1]Comparison Table 2x active'!$B$3:$B$11</c:f>
              <c:numCache>
                <c:formatCode>General</c:formatCode>
                <c:ptCount val="9"/>
                <c:pt idx="0">
                  <c:v>0</c:v>
                </c:pt>
                <c:pt idx="1">
                  <c:v>2.4</c:v>
                </c:pt>
                <c:pt idx="2">
                  <c:v>6</c:v>
                </c:pt>
                <c:pt idx="3">
                  <c:v>12</c:v>
                </c:pt>
                <c:pt idx="4">
                  <c:v>22</c:v>
                </c:pt>
                <c:pt idx="5">
                  <c:v>35</c:v>
                </c:pt>
                <c:pt idx="6">
                  <c:v>50</c:v>
                </c:pt>
                <c:pt idx="7">
                  <c:v>72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6A9-456C-8716-162B2F994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49792"/>
        <c:axId val="1"/>
      </c:scatterChart>
      <c:valAx>
        <c:axId val="566449792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(c) Minimum chute width, ft.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"/>
      </c:valAx>
      <c:valAx>
        <c:axId val="1"/>
        <c:scaling>
          <c:orientation val="minMax"/>
          <c:max val="100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566449792"/>
        <c:crosses val="autoZero"/>
        <c:crossBetween val="midCat"/>
        <c:majorUnit val="10"/>
        <c:minorUnit val="5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22</xdr:col>
      <xdr:colOff>438150</xdr:colOff>
      <xdr:row>28</xdr:row>
      <xdr:rowOff>25400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287C0E7E-6C30-4E8D-A2D3-E751C586DD67}"/>
            </a:ext>
          </a:extLst>
        </xdr:cNvPr>
        <xdr:cNvGrpSpPr>
          <a:grpSpLocks/>
        </xdr:cNvGrpSpPr>
      </xdr:nvGrpSpPr>
      <xdr:grpSpPr bwMode="auto">
        <a:xfrm>
          <a:off x="0" y="231140"/>
          <a:ext cx="13566140" cy="4616450"/>
          <a:chOff x="0" y="2886075"/>
          <a:chExt cx="12915900" cy="385762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BD5A46F7-B4A4-4B48-9DF4-409342FF046B}"/>
              </a:ext>
            </a:extLst>
          </xdr:cNvPr>
          <xdr:cNvGraphicFramePr>
            <a:graphicFrameLocks/>
          </xdr:cNvGraphicFramePr>
        </xdr:nvGraphicFramePr>
        <xdr:xfrm>
          <a:off x="0" y="3286125"/>
          <a:ext cx="4572000" cy="322421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77832A22-3DEB-496A-B2BD-58116C6FB4AD}"/>
              </a:ext>
            </a:extLst>
          </xdr:cNvPr>
          <xdr:cNvGraphicFramePr>
            <a:graphicFrameLocks/>
          </xdr:cNvGraphicFramePr>
        </xdr:nvGraphicFramePr>
        <xdr:xfrm>
          <a:off x="3600450" y="3295650"/>
          <a:ext cx="5238750" cy="30861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3">
            <a:extLst>
              <a:ext uri="{FF2B5EF4-FFF2-40B4-BE49-F238E27FC236}">
                <a16:creationId xmlns:a16="http://schemas.microsoft.com/office/drawing/2014/main" id="{45067DC5-8129-4304-AF4D-143214A0BBE1}"/>
              </a:ext>
            </a:extLst>
          </xdr:cNvPr>
          <xdr:cNvGraphicFramePr>
            <a:graphicFrameLocks/>
          </xdr:cNvGraphicFramePr>
        </xdr:nvGraphicFramePr>
        <xdr:xfrm>
          <a:off x="9439275" y="2886075"/>
          <a:ext cx="3476625" cy="38576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Chart 4">
            <a:extLst>
              <a:ext uri="{FF2B5EF4-FFF2-40B4-BE49-F238E27FC236}">
                <a16:creationId xmlns:a16="http://schemas.microsoft.com/office/drawing/2014/main" id="{A4F0E160-2A01-4581-89C7-C5F9890D07B0}"/>
              </a:ext>
            </a:extLst>
          </xdr:cNvPr>
          <xdr:cNvGraphicFramePr>
            <a:graphicFrameLocks/>
          </xdr:cNvGraphicFramePr>
        </xdr:nvGraphicFramePr>
        <xdr:xfrm>
          <a:off x="6486525" y="3295650"/>
          <a:ext cx="3486150" cy="3143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5</xdr:col>
      <xdr:colOff>57150</xdr:colOff>
      <xdr:row>1</xdr:row>
      <xdr:rowOff>1</xdr:rowOff>
    </xdr:from>
    <xdr:to>
      <xdr:col>16</xdr:col>
      <xdr:colOff>57150</xdr:colOff>
      <xdr:row>4</xdr:row>
      <xdr:rowOff>125072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45BDC94-F8AF-4A74-8DB1-42C469E8A62D}"/>
            </a:ext>
          </a:extLst>
        </xdr:cNvPr>
        <xdr:cNvSpPr txBox="1"/>
      </xdr:nvSpPr>
      <xdr:spPr>
        <a:xfrm>
          <a:off x="3105150" y="158751"/>
          <a:ext cx="6705600" cy="601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Simplified design of rock-armored</a:t>
          </a:r>
          <a:r>
            <a:rPr lang="en-US" sz="2800" baseline="0"/>
            <a:t> crossings</a:t>
          </a:r>
          <a:endParaRPr lang="en-US" sz="2800"/>
        </a:p>
      </xdr:txBody>
    </xdr:sp>
    <xdr:clientData/>
  </xdr:twoCellAnchor>
  <xdr:twoCellAnchor>
    <xdr:from>
      <xdr:col>2</xdr:col>
      <xdr:colOff>566210</xdr:colOff>
      <xdr:row>8</xdr:row>
      <xdr:rowOff>149224</xdr:rowOff>
    </xdr:from>
    <xdr:to>
      <xdr:col>3</xdr:col>
      <xdr:colOff>575734</xdr:colOff>
      <xdr:row>10</xdr:row>
      <xdr:rowOff>130175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C3CF844-6E0C-4E7E-9A06-37FE63A32963}"/>
            </a:ext>
          </a:extLst>
        </xdr:cNvPr>
        <xdr:cNvSpPr txBox="1"/>
      </xdr:nvSpPr>
      <xdr:spPr>
        <a:xfrm>
          <a:off x="1785410" y="1419224"/>
          <a:ext cx="619124" cy="298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x = 3:1 </a:t>
          </a:r>
        </a:p>
      </xdr:txBody>
    </xdr:sp>
    <xdr:clientData/>
  </xdr:twoCellAnchor>
  <xdr:twoCellAnchor>
    <xdr:from>
      <xdr:col>4</xdr:col>
      <xdr:colOff>106892</xdr:colOff>
      <xdr:row>10</xdr:row>
      <xdr:rowOff>77256</xdr:rowOff>
    </xdr:from>
    <xdr:to>
      <xdr:col>4</xdr:col>
      <xdr:colOff>554567</xdr:colOff>
      <xdr:row>12</xdr:row>
      <xdr:rowOff>65920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4424240-5B7A-4566-9772-725840628994}"/>
            </a:ext>
          </a:extLst>
        </xdr:cNvPr>
        <xdr:cNvSpPr txBox="1"/>
      </xdr:nvSpPr>
      <xdr:spPr>
        <a:xfrm>
          <a:off x="2545292" y="1664756"/>
          <a:ext cx="447675" cy="306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2:1 </a:t>
          </a:r>
        </a:p>
      </xdr:txBody>
    </xdr:sp>
    <xdr:clientData/>
  </xdr:twoCellAnchor>
  <xdr:twoCellAnchor>
    <xdr:from>
      <xdr:col>5</xdr:col>
      <xdr:colOff>46568</xdr:colOff>
      <xdr:row>14</xdr:row>
      <xdr:rowOff>129116</xdr:rowOff>
    </xdr:from>
    <xdr:to>
      <xdr:col>5</xdr:col>
      <xdr:colOff>608542</xdr:colOff>
      <xdr:row>16</xdr:row>
      <xdr:rowOff>103849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EE1CC1B-9953-4495-AA0F-6E64B78CF948}"/>
            </a:ext>
          </a:extLst>
        </xdr:cNvPr>
        <xdr:cNvSpPr txBox="1"/>
      </xdr:nvSpPr>
      <xdr:spPr>
        <a:xfrm>
          <a:off x="3094568" y="2351616"/>
          <a:ext cx="561974" cy="2922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1.5:1 </a:t>
          </a:r>
        </a:p>
      </xdr:txBody>
    </xdr:sp>
    <xdr:clientData/>
  </xdr:twoCellAnchor>
  <xdr:twoCellAnchor>
    <xdr:from>
      <xdr:col>8</xdr:col>
      <xdr:colOff>144991</xdr:colOff>
      <xdr:row>9</xdr:row>
      <xdr:rowOff>13757</xdr:rowOff>
    </xdr:from>
    <xdr:to>
      <xdr:col>8</xdr:col>
      <xdr:colOff>592666</xdr:colOff>
      <xdr:row>10</xdr:row>
      <xdr:rowOff>155575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C5DFBE9-E094-4F8F-BA28-840F5CDA7007}"/>
            </a:ext>
          </a:extLst>
        </xdr:cNvPr>
        <xdr:cNvSpPr txBox="1"/>
      </xdr:nvSpPr>
      <xdr:spPr>
        <a:xfrm>
          <a:off x="5021791" y="1442507"/>
          <a:ext cx="447675" cy="300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3:1 </a:t>
          </a:r>
        </a:p>
      </xdr:txBody>
    </xdr:sp>
    <xdr:clientData/>
  </xdr:twoCellAnchor>
  <xdr:twoCellAnchor>
    <xdr:from>
      <xdr:col>8</xdr:col>
      <xdr:colOff>491066</xdr:colOff>
      <xdr:row>12</xdr:row>
      <xdr:rowOff>1904</xdr:rowOff>
    </xdr:from>
    <xdr:to>
      <xdr:col>9</xdr:col>
      <xdr:colOff>329141</xdr:colOff>
      <xdr:row>13</xdr:row>
      <xdr:rowOff>136720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9F44660-6DE4-4E8C-BED7-32C1B27CE11B}"/>
            </a:ext>
          </a:extLst>
        </xdr:cNvPr>
        <xdr:cNvSpPr txBox="1"/>
      </xdr:nvSpPr>
      <xdr:spPr>
        <a:xfrm>
          <a:off x="5367866" y="1906904"/>
          <a:ext cx="447675" cy="2935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2:1 </a:t>
          </a:r>
        </a:p>
      </xdr:txBody>
    </xdr:sp>
    <xdr:clientData/>
  </xdr:twoCellAnchor>
  <xdr:twoCellAnchor>
    <xdr:from>
      <xdr:col>9</xdr:col>
      <xdr:colOff>481543</xdr:colOff>
      <xdr:row>14</xdr:row>
      <xdr:rowOff>145838</xdr:rowOff>
    </xdr:from>
    <xdr:to>
      <xdr:col>10</xdr:col>
      <xdr:colOff>433917</xdr:colOff>
      <xdr:row>16</xdr:row>
      <xdr:rowOff>119787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2151CC5-22BB-4CB7-AB82-F81A0AC05333}"/>
            </a:ext>
          </a:extLst>
        </xdr:cNvPr>
        <xdr:cNvSpPr txBox="1"/>
      </xdr:nvSpPr>
      <xdr:spPr>
        <a:xfrm>
          <a:off x="5967943" y="2368338"/>
          <a:ext cx="561974" cy="29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1.5:1 </a:t>
          </a:r>
        </a:p>
      </xdr:txBody>
    </xdr:sp>
    <xdr:clientData/>
  </xdr:twoCellAnchor>
  <xdr:twoCellAnchor editAs="oneCell">
    <xdr:from>
      <xdr:col>0</xdr:col>
      <xdr:colOff>107950</xdr:colOff>
      <xdr:row>29</xdr:row>
      <xdr:rowOff>139700</xdr:rowOff>
    </xdr:from>
    <xdr:to>
      <xdr:col>10</xdr:col>
      <xdr:colOff>157748</xdr:colOff>
      <xdr:row>60</xdr:row>
      <xdr:rowOff>110066</xdr:rowOff>
    </xdr:to>
    <xdr:pic>
      <xdr:nvPicPr>
        <xdr:cNvPr id="14" name="Picture 19">
          <a:extLst>
            <a:ext uri="{FF2B5EF4-FFF2-40B4-BE49-F238E27FC236}">
              <a16:creationId xmlns:a16="http://schemas.microsoft.com/office/drawing/2014/main" id="{937EC0C3-D1FE-46CE-8809-3AA147006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4737100"/>
          <a:ext cx="6145798" cy="4957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584200</xdr:colOff>
      <xdr:row>47</xdr:row>
      <xdr:rowOff>82550</xdr:rowOff>
    </xdr:from>
    <xdr:to>
      <xdr:col>20</xdr:col>
      <xdr:colOff>0</xdr:colOff>
      <xdr:row>61</xdr:row>
      <xdr:rowOff>146050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C293606B-4ED9-4670-8EC9-DB1A95627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0200" y="7480300"/>
          <a:ext cx="551180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</xdr:colOff>
      <xdr:row>27</xdr:row>
      <xdr:rowOff>0</xdr:rowOff>
    </xdr:from>
    <xdr:to>
      <xdr:col>20</xdr:col>
      <xdr:colOff>12700</xdr:colOff>
      <xdr:row>46</xdr:row>
      <xdr:rowOff>31750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E30C584F-B2B5-4A82-B863-C19B0D83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03700"/>
          <a:ext cx="5480050" cy="306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146050</xdr:colOff>
      <xdr:row>11</xdr:row>
      <xdr:rowOff>69850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600"/>
          <a:ext cx="3803650" cy="134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31750</xdr:rowOff>
    </xdr:from>
    <xdr:to>
      <xdr:col>6</xdr:col>
      <xdr:colOff>603250</xdr:colOff>
      <xdr:row>25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4260850" cy="226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133350</xdr:rowOff>
    </xdr:from>
    <xdr:to>
      <xdr:col>6</xdr:col>
      <xdr:colOff>44450</xdr:colOff>
      <xdr:row>35</xdr:row>
      <xdr:rowOff>152400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3250"/>
          <a:ext cx="3702050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158750</xdr:rowOff>
    </xdr:from>
    <xdr:to>
      <xdr:col>4</xdr:col>
      <xdr:colOff>552450</xdr:colOff>
      <xdr:row>44</xdr:row>
      <xdr:rowOff>50800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7450"/>
          <a:ext cx="29908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11</xdr:col>
      <xdr:colOff>642840</xdr:colOff>
      <xdr:row>14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4815" y="2775185"/>
          <a:ext cx="1505185" cy="332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23519</xdr:colOff>
      <xdr:row>15</xdr:row>
      <xdr:rowOff>15680</xdr:rowOff>
    </xdr:from>
    <xdr:to>
      <xdr:col>14</xdr:col>
      <xdr:colOff>70555</xdr:colOff>
      <xdr:row>17</xdr:row>
      <xdr:rowOff>23989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4" y="3151482"/>
          <a:ext cx="3465061" cy="345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7841</xdr:colOff>
      <xdr:row>17</xdr:row>
      <xdr:rowOff>148950</xdr:rowOff>
    </xdr:from>
    <xdr:to>
      <xdr:col>14</xdr:col>
      <xdr:colOff>39198</xdr:colOff>
      <xdr:row>20</xdr:row>
      <xdr:rowOff>22028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56" y="3621851"/>
          <a:ext cx="3449382" cy="343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7840</xdr:colOff>
      <xdr:row>21</xdr:row>
      <xdr:rowOff>31357</xdr:rowOff>
    </xdr:from>
    <xdr:to>
      <xdr:col>18</xdr:col>
      <xdr:colOff>525246</xdr:colOff>
      <xdr:row>25</xdr:row>
      <xdr:rowOff>56758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55" y="4131419"/>
          <a:ext cx="5448455" cy="652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384916</xdr:colOff>
      <xdr:row>49</xdr:row>
      <xdr:rowOff>93136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6F6017-D218-4C7A-BEDD-5FA2AC62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88249" cy="86068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12700</xdr:rowOff>
    </xdr:from>
    <xdr:to>
      <xdr:col>3</xdr:col>
      <xdr:colOff>2546350</xdr:colOff>
      <xdr:row>28</xdr:row>
      <xdr:rowOff>127000</xdr:rowOff>
    </xdr:to>
    <xdr:pic>
      <xdr:nvPicPr>
        <xdr:cNvPr id="2" name="Picture 1" descr="Road pris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0900"/>
          <a:ext cx="4375150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167639</xdr:rowOff>
    </xdr:from>
    <xdr:to>
      <xdr:col>8</xdr:col>
      <xdr:colOff>144780</xdr:colOff>
      <xdr:row>45</xdr:row>
      <xdr:rowOff>54218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1ED80E-F843-4035-AF27-C624EBFAF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199"/>
          <a:ext cx="5021580" cy="67598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lindsay/Desktop/Bridge%20rock%20size%20large%20fill%20writeup/final%20edits/Compiled%20RSP%20Crossing%20Sizing_edit%207-16-17.xls" TargetMode="External"/><Relationship Id="rId1" Type="http://schemas.openxmlformats.org/officeDocument/2006/relationships/externalLinkPath" Target="/Users/dlindsay/Desktop/Bridge%20rock%20size%20large%20fill%20writeup/final%20edits/Compiled%20RSP%20Crossing%20Sizing_edit%207-16-17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lindsay/Documents/Compiled%20RSP%20Crossing%20Sizing_edit%207-30-14.xls" TargetMode="External"/><Relationship Id="rId1" Type="http://schemas.openxmlformats.org/officeDocument/2006/relationships/externalLinkPath" Target="/Users/dlindsay/Documents/Compiled%20RSP%20Crossing%20Sizing_edit%207-30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mograph"/>
      <sheetName val="Figure chart"/>
      <sheetName val="ARS method"/>
      <sheetName val="HEC 23"/>
      <sheetName val="Comparison of ARS and HEC 23 "/>
      <sheetName val="Comparison Table 2x active"/>
      <sheetName val="Charts"/>
      <sheetName val="Cross-sectional area"/>
      <sheetName val="Simple parabolic channels "/>
      <sheetName val="Channel Hydraulics"/>
      <sheetName val="Culvert exit velocity &amp; riprap"/>
      <sheetName val="Broad-crested Weir (rectangle)"/>
      <sheetName val="Sheet2"/>
      <sheetName val="Raised road crossing hydaulics "/>
      <sheetName val="Broad-crested Weir (Trapezoid)"/>
      <sheetName val="RSP sizing CALTRANS"/>
      <sheetName val="Manning Eq. (trapezoid x-sec.) "/>
      <sheetName val="Manning Eq. (parabolic x-sec.)"/>
      <sheetName val="Sheet3"/>
      <sheetName val="RSP sizing for spillway"/>
      <sheetName val="Weight of Rock"/>
      <sheetName val="Fill Height Worksheet"/>
      <sheetName val="Manning n-value "/>
      <sheetName val="Q100 calculations"/>
      <sheetName val="Fillslope distance above pipe"/>
      <sheetName val="Sheet1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B4">
            <v>2.4</v>
          </cell>
          <cell r="C4">
            <v>2</v>
          </cell>
          <cell r="D4">
            <v>0.92</v>
          </cell>
          <cell r="E4">
            <v>1.84</v>
          </cell>
          <cell r="F4">
            <v>0.56308670150061113</v>
          </cell>
        </row>
        <row r="5">
          <cell r="B5">
            <v>6</v>
          </cell>
          <cell r="C5">
            <v>3</v>
          </cell>
          <cell r="D5">
            <v>1.2</v>
          </cell>
          <cell r="E5">
            <v>2.4</v>
          </cell>
          <cell r="F5">
            <v>0.79154286240438498</v>
          </cell>
        </row>
        <row r="6">
          <cell r="B6">
            <v>12</v>
          </cell>
          <cell r="C6">
            <v>4</v>
          </cell>
          <cell r="D6">
            <v>1.47</v>
          </cell>
          <cell r="E6">
            <v>2.94</v>
          </cell>
          <cell r="F6">
            <v>1.0372145723968844</v>
          </cell>
        </row>
        <row r="7">
          <cell r="B7">
            <v>22</v>
          </cell>
          <cell r="C7">
            <v>5</v>
          </cell>
          <cell r="D7">
            <v>1.8</v>
          </cell>
          <cell r="E7">
            <v>3.6</v>
          </cell>
          <cell r="F7">
            <v>1.3389249187401651</v>
          </cell>
        </row>
        <row r="8">
          <cell r="B8">
            <v>35</v>
          </cell>
          <cell r="C8">
            <v>6</v>
          </cell>
          <cell r="D8">
            <v>2.1</v>
          </cell>
          <cell r="E8">
            <v>4.2</v>
          </cell>
          <cell r="F8">
            <v>1.6158422860318098</v>
          </cell>
        </row>
        <row r="9">
          <cell r="B9">
            <v>50</v>
          </cell>
          <cell r="C9">
            <v>7</v>
          </cell>
          <cell r="D9">
            <v>2.2999999999999998</v>
          </cell>
          <cell r="E9">
            <v>4.5999999999999996</v>
          </cell>
          <cell r="F9">
            <v>1.8494208502008758</v>
          </cell>
        </row>
        <row r="10">
          <cell r="B10">
            <v>72</v>
          </cell>
          <cell r="C10">
            <v>8</v>
          </cell>
          <cell r="D10">
            <v>2.6</v>
          </cell>
          <cell r="E10">
            <v>5.2</v>
          </cell>
          <cell r="F10">
            <v>2.1574932530764572</v>
          </cell>
        </row>
        <row r="11">
          <cell r="B11">
            <v>100</v>
          </cell>
          <cell r="C11">
            <v>9</v>
          </cell>
          <cell r="D11">
            <v>3.2</v>
          </cell>
          <cell r="E11">
            <v>6.4</v>
          </cell>
          <cell r="F11">
            <v>2.4829011730871491</v>
          </cell>
        </row>
        <row r="16">
          <cell r="B16">
            <v>0</v>
          </cell>
          <cell r="D16">
            <v>0</v>
          </cell>
          <cell r="E16">
            <v>0</v>
          </cell>
        </row>
        <row r="17">
          <cell r="B17">
            <v>2.4</v>
          </cell>
          <cell r="D17">
            <v>0.7</v>
          </cell>
          <cell r="E17">
            <v>1.4</v>
          </cell>
        </row>
        <row r="18">
          <cell r="B18">
            <v>6</v>
          </cell>
          <cell r="D18">
            <v>0.9</v>
          </cell>
          <cell r="E18">
            <v>1.8</v>
          </cell>
        </row>
        <row r="19">
          <cell r="B19">
            <v>12</v>
          </cell>
          <cell r="D19">
            <v>1.1000000000000001</v>
          </cell>
          <cell r="E19">
            <v>2.2000000000000002</v>
          </cell>
        </row>
        <row r="20">
          <cell r="B20">
            <v>22</v>
          </cell>
          <cell r="D20">
            <v>1.3</v>
          </cell>
          <cell r="E20">
            <v>2.6</v>
          </cell>
        </row>
        <row r="21">
          <cell r="B21">
            <v>35</v>
          </cell>
          <cell r="D21">
            <v>1.5</v>
          </cell>
          <cell r="E21">
            <v>3</v>
          </cell>
        </row>
        <row r="22">
          <cell r="B22">
            <v>50</v>
          </cell>
          <cell r="D22">
            <v>1.7</v>
          </cell>
          <cell r="E22">
            <v>3.4</v>
          </cell>
        </row>
        <row r="23">
          <cell r="B23">
            <v>72</v>
          </cell>
          <cell r="D23">
            <v>1.9</v>
          </cell>
          <cell r="E23">
            <v>3.8</v>
          </cell>
        </row>
        <row r="24">
          <cell r="B24">
            <v>100</v>
          </cell>
          <cell r="D24">
            <v>2.2000000000000002</v>
          </cell>
          <cell r="E24">
            <v>4.4000000000000004</v>
          </cell>
        </row>
        <row r="29">
          <cell r="B29">
            <v>0</v>
          </cell>
          <cell r="D29">
            <v>0</v>
          </cell>
          <cell r="E29">
            <v>0</v>
          </cell>
        </row>
        <row r="30">
          <cell r="B30">
            <v>2.4</v>
          </cell>
          <cell r="D30">
            <v>1.1960000000000002</v>
          </cell>
          <cell r="E30">
            <v>2.3920000000000003</v>
          </cell>
        </row>
        <row r="31">
          <cell r="B31">
            <v>6</v>
          </cell>
          <cell r="D31">
            <v>1.56</v>
          </cell>
          <cell r="E31">
            <v>3.12</v>
          </cell>
        </row>
        <row r="32">
          <cell r="B32">
            <v>12</v>
          </cell>
          <cell r="D32">
            <v>1.911</v>
          </cell>
          <cell r="E32">
            <v>3.8220000000000001</v>
          </cell>
        </row>
        <row r="33">
          <cell r="B33">
            <v>22</v>
          </cell>
          <cell r="D33">
            <v>2.3400000000000003</v>
          </cell>
          <cell r="E33">
            <v>4.6800000000000006</v>
          </cell>
        </row>
        <row r="34">
          <cell r="B34">
            <v>35</v>
          </cell>
          <cell r="D34">
            <v>2.7300000000000004</v>
          </cell>
          <cell r="E34">
            <v>5.4600000000000009</v>
          </cell>
        </row>
        <row r="35">
          <cell r="B35">
            <v>50</v>
          </cell>
          <cell r="D35">
            <v>2.9899999999999998</v>
          </cell>
          <cell r="E35">
            <v>5.9799999999999995</v>
          </cell>
        </row>
        <row r="36">
          <cell r="B36">
            <v>72</v>
          </cell>
          <cell r="D36">
            <v>3.3800000000000003</v>
          </cell>
          <cell r="E36">
            <v>6.7600000000000007</v>
          </cell>
        </row>
        <row r="37">
          <cell r="B37">
            <v>100</v>
          </cell>
          <cell r="D37">
            <v>4.16</v>
          </cell>
          <cell r="E37">
            <v>8.32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arts (2)"/>
      <sheetName val="ARS method"/>
      <sheetName val="HEC 23"/>
      <sheetName val="Comparison of ARS and HEC 23 "/>
      <sheetName val="Comparison Table 2x active"/>
      <sheetName val="Charts"/>
      <sheetName val="Cross-sectional area"/>
      <sheetName val="Simple parabolic channels "/>
      <sheetName val="Channel Hydraulics"/>
      <sheetName val="Culvert exit velocity &amp; riprap"/>
      <sheetName val="Broad-crested Weir (rectangle)"/>
      <sheetName val="Raised road crossing hydaulics "/>
      <sheetName val="Broad-crested Weir (Trapezoid)"/>
      <sheetName val="RSP sizing CALTRANS"/>
      <sheetName val="Manning Eq. (trapezoid x-sec.) "/>
      <sheetName val="Manning Eq. (parabolic x-sec.)"/>
      <sheetName val="RSP sizing for spillway"/>
      <sheetName val="Weight of Rock"/>
      <sheetName val="Fill Height Worksheet"/>
      <sheetName val="Manning n-value "/>
      <sheetName val="Q100 calculations"/>
      <sheetName val="Fillslope distance above pi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A5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6:J62"/>
  <sheetViews>
    <sheetView showGridLines="0" topLeftCell="A46" zoomScale="75" zoomScaleNormal="75" workbookViewId="0">
      <selection activeCell="C74" sqref="C74"/>
    </sheetView>
  </sheetViews>
  <sheetFormatPr defaultColWidth="8.6640625" defaultRowHeight="13.2"/>
  <cols>
    <col min="1" max="16384" width="8.6640625" style="151"/>
  </cols>
  <sheetData>
    <row r="26" spans="1:10" ht="6" customHeight="1"/>
    <row r="27" spans="1:10" ht="12.45" customHeight="1">
      <c r="A27" s="172" t="s">
        <v>183</v>
      </c>
      <c r="B27" s="172"/>
      <c r="C27" s="172"/>
      <c r="D27" s="172"/>
      <c r="E27" s="172"/>
      <c r="F27" s="172"/>
      <c r="G27" s="172"/>
      <c r="H27" s="172"/>
      <c r="I27" s="172"/>
      <c r="J27" s="172"/>
    </row>
    <row r="28" spans="1:10" ht="12.45" customHeight="1">
      <c r="A28" s="172"/>
      <c r="B28" s="172"/>
      <c r="C28" s="172"/>
      <c r="D28" s="172"/>
      <c r="E28" s="172"/>
      <c r="F28" s="172"/>
      <c r="G28" s="172"/>
      <c r="H28" s="172"/>
      <c r="I28" s="172"/>
      <c r="J28" s="172"/>
    </row>
    <row r="29" spans="1:10" ht="13.95" customHeight="1">
      <c r="A29" s="172"/>
      <c r="B29" s="172"/>
      <c r="C29" s="172"/>
      <c r="D29" s="172"/>
      <c r="E29" s="172"/>
      <c r="F29" s="172"/>
      <c r="G29" s="172"/>
      <c r="H29" s="172"/>
      <c r="I29" s="172"/>
      <c r="J29" s="172"/>
    </row>
    <row r="62" spans="1:1">
      <c r="A62" s="155" t="s">
        <v>185</v>
      </c>
    </row>
  </sheetData>
  <sheetProtection algorithmName="SHA-512" hashValue="0fPF1koQeP1V7bvg0Dw3EtU0I58pMyuQYYnbeh8ejeBVKnOrT5fKurvNncYbxqdRlJYX2CnBQZifIYMmB/tfzw==" saltValue="zlcHE2O4gN70fK/TzuAFIA==" spinCount="100000" sheet="1" objects="1" scenarios="1" selectLockedCells="1" selectUnlockedCells="1"/>
  <mergeCells count="1">
    <mergeCell ref="A27:J29"/>
  </mergeCells>
  <pageMargins left="0.7" right="0.7" top="0.75" bottom="0.75" header="0.3" footer="0.3"/>
  <pageSetup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7"/>
  <sheetViews>
    <sheetView zoomScale="85" zoomScaleNormal="85" workbookViewId="0">
      <selection activeCell="M34" sqref="M34"/>
    </sheetView>
  </sheetViews>
  <sheetFormatPr defaultRowHeight="13.2"/>
  <cols>
    <col min="12" max="12" width="38.88671875" customWidth="1"/>
    <col min="15" max="15" width="26.6640625" customWidth="1"/>
    <col min="16" max="16" width="7.109375" customWidth="1"/>
  </cols>
  <sheetData>
    <row r="1" spans="1:17" ht="12.45" customHeight="1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4"/>
      <c r="K1" s="173" t="s">
        <v>44</v>
      </c>
      <c r="L1" s="174"/>
      <c r="M1" s="174"/>
      <c r="N1" s="174"/>
      <c r="O1" s="174"/>
      <c r="P1" s="174"/>
      <c r="Q1" s="175"/>
    </row>
    <row r="2" spans="1:17" ht="12.45" customHeight="1">
      <c r="A2" s="25"/>
      <c r="B2" s="25"/>
      <c r="C2" s="25"/>
      <c r="D2" s="25"/>
      <c r="E2" s="25"/>
      <c r="F2" s="25"/>
      <c r="G2" s="25"/>
      <c r="H2" s="25"/>
      <c r="I2" s="25"/>
      <c r="J2" s="4"/>
      <c r="K2" s="176"/>
      <c r="L2" s="177"/>
      <c r="M2" s="177"/>
      <c r="N2" s="177"/>
      <c r="O2" s="177"/>
      <c r="P2" s="177"/>
      <c r="Q2" s="178"/>
    </row>
    <row r="3" spans="1:17" ht="13.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179" t="s">
        <v>63</v>
      </c>
      <c r="L3" s="189" t="s">
        <v>54</v>
      </c>
      <c r="M3" s="189"/>
      <c r="N3" s="189"/>
      <c r="O3" s="190" t="s">
        <v>53</v>
      </c>
      <c r="P3" s="190"/>
      <c r="Q3" s="191"/>
    </row>
    <row r="4" spans="1:17">
      <c r="A4" s="4"/>
      <c r="B4" s="4"/>
      <c r="C4" s="4"/>
      <c r="D4" s="4"/>
      <c r="E4" s="4"/>
      <c r="F4" s="4"/>
      <c r="G4" s="4"/>
      <c r="H4" s="53"/>
      <c r="I4" s="4"/>
      <c r="J4" s="4"/>
      <c r="K4" s="179"/>
      <c r="L4" s="4" t="s">
        <v>38</v>
      </c>
      <c r="M4" s="58">
        <v>42</v>
      </c>
      <c r="N4" s="4" t="s">
        <v>52</v>
      </c>
      <c r="O4" s="4" t="s">
        <v>34</v>
      </c>
      <c r="P4" s="58">
        <v>325</v>
      </c>
      <c r="Q4" s="5" t="s">
        <v>47</v>
      </c>
    </row>
    <row r="5" spans="1:17" ht="13.2" customHeight="1">
      <c r="A5" s="4"/>
      <c r="B5" s="4"/>
      <c r="C5" s="4"/>
      <c r="D5" s="4"/>
      <c r="E5" s="4"/>
      <c r="F5" s="4"/>
      <c r="G5" s="4"/>
      <c r="H5" s="4"/>
      <c r="I5" s="4"/>
      <c r="J5" s="4"/>
      <c r="K5" s="179"/>
      <c r="L5" s="4" t="s">
        <v>57</v>
      </c>
      <c r="M5" s="58">
        <v>0.45</v>
      </c>
      <c r="N5" s="4"/>
      <c r="O5" s="4" t="s">
        <v>170</v>
      </c>
      <c r="P5" s="58">
        <v>40</v>
      </c>
      <c r="Q5" s="5" t="s">
        <v>48</v>
      </c>
    </row>
    <row r="6" spans="1:17">
      <c r="A6" s="4"/>
      <c r="B6" s="4"/>
      <c r="C6" s="4"/>
      <c r="D6" s="4"/>
      <c r="E6" s="4"/>
      <c r="F6" s="4"/>
      <c r="G6" s="4"/>
      <c r="H6" s="4"/>
      <c r="I6" s="4"/>
      <c r="J6" s="4"/>
      <c r="K6" s="179"/>
      <c r="L6" s="4" t="s">
        <v>35</v>
      </c>
      <c r="M6" s="58">
        <v>2</v>
      </c>
      <c r="N6" s="4"/>
      <c r="O6" s="4"/>
      <c r="P6" s="4"/>
      <c r="Q6" s="5"/>
    </row>
    <row r="7" spans="1:17">
      <c r="A7" s="4"/>
      <c r="B7" s="4"/>
      <c r="C7" s="4"/>
      <c r="D7" s="4"/>
      <c r="E7" s="4"/>
      <c r="F7" s="4"/>
      <c r="G7" s="4"/>
      <c r="H7" s="4"/>
      <c r="I7" s="4"/>
      <c r="J7" s="4"/>
      <c r="K7" s="179"/>
      <c r="L7" s="4" t="s">
        <v>175</v>
      </c>
      <c r="M7" s="58">
        <v>0.5</v>
      </c>
      <c r="N7" s="4" t="s">
        <v>51</v>
      </c>
      <c r="O7" s="4"/>
      <c r="P7" s="4"/>
      <c r="Q7" s="5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1"/>
      <c r="L8" s="4"/>
      <c r="M8" s="4"/>
      <c r="N8" s="4"/>
      <c r="O8" s="4"/>
      <c r="P8" s="4"/>
      <c r="Q8" s="5"/>
    </row>
    <row r="9" spans="1:17">
      <c r="A9" s="4"/>
      <c r="B9" s="4"/>
      <c r="C9" s="4"/>
      <c r="D9" s="4"/>
      <c r="E9" s="4"/>
      <c r="F9" s="4"/>
      <c r="G9" s="4"/>
      <c r="H9" s="4"/>
      <c r="I9" s="4"/>
      <c r="J9" s="4"/>
      <c r="K9" s="179" t="s">
        <v>66</v>
      </c>
      <c r="L9" s="4" t="s">
        <v>36</v>
      </c>
      <c r="M9" s="4">
        <v>0.52500000000000002</v>
      </c>
      <c r="N9" s="4"/>
      <c r="O9" s="4" t="s">
        <v>173</v>
      </c>
      <c r="P9" s="4">
        <f>P4/P5</f>
        <v>8.125</v>
      </c>
      <c r="Q9" s="5" t="s">
        <v>49</v>
      </c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179"/>
      <c r="L10" s="4" t="s">
        <v>37</v>
      </c>
      <c r="M10" s="4">
        <v>2.65</v>
      </c>
      <c r="N10" s="4"/>
      <c r="O10" s="4"/>
      <c r="P10" s="4"/>
      <c r="Q10" s="5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179"/>
      <c r="L11" s="4" t="s">
        <v>33</v>
      </c>
      <c r="M11" s="4">
        <v>32.200000000000003</v>
      </c>
      <c r="N11" s="4" t="s">
        <v>50</v>
      </c>
      <c r="O11" s="4"/>
      <c r="P11" s="4"/>
      <c r="Q11" s="5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179"/>
      <c r="L12" s="4" t="s">
        <v>174</v>
      </c>
      <c r="M12" s="17">
        <f>DEGREES(ATAN(M7))</f>
        <v>26.56505117707799</v>
      </c>
      <c r="N12" s="4" t="s">
        <v>52</v>
      </c>
      <c r="O12" s="4"/>
      <c r="P12" s="4"/>
      <c r="Q12" s="5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179"/>
      <c r="L13" s="4" t="s">
        <v>45</v>
      </c>
      <c r="M13" s="43">
        <v>2.84</v>
      </c>
      <c r="N13" s="4"/>
      <c r="O13" s="4"/>
      <c r="P13" s="4"/>
      <c r="Q13" s="5"/>
    </row>
    <row r="14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5"/>
      <c r="L14" s="4"/>
      <c r="M14" s="43"/>
      <c r="N14" s="4"/>
      <c r="O14" s="4"/>
      <c r="P14" s="4"/>
      <c r="Q14" s="5"/>
    </row>
    <row r="15" spans="1:17" ht="13.9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179" t="s">
        <v>65</v>
      </c>
      <c r="L15" s="181" t="s">
        <v>128</v>
      </c>
      <c r="M15" s="181"/>
      <c r="N15" s="181"/>
      <c r="O15" s="181"/>
      <c r="P15" s="181"/>
      <c r="Q15" s="182"/>
    </row>
    <row r="16" spans="1:17" ht="14.7" customHeight="1">
      <c r="A16" s="54"/>
      <c r="B16" s="54"/>
      <c r="C16" s="4"/>
      <c r="D16" s="4"/>
      <c r="E16" s="4"/>
      <c r="F16" s="4"/>
      <c r="G16" s="4"/>
      <c r="H16" s="4"/>
      <c r="I16" s="4"/>
      <c r="J16" s="4"/>
      <c r="K16" s="179"/>
      <c r="L16" s="4" t="s">
        <v>129</v>
      </c>
      <c r="M16" s="44">
        <f>(P4/(M13*P5))^(2/3)</f>
        <v>2.0152859930496043</v>
      </c>
      <c r="N16" s="4" t="s">
        <v>56</v>
      </c>
      <c r="O16" s="4"/>
      <c r="P16" s="4"/>
      <c r="Q16" s="5"/>
    </row>
    <row r="17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179"/>
      <c r="L17" s="4"/>
      <c r="M17" s="4"/>
      <c r="N17" s="4"/>
      <c r="O17" s="4"/>
      <c r="P17" s="4"/>
      <c r="Q17" s="5"/>
    </row>
    <row r="18" spans="1:17" ht="14.4">
      <c r="A18" s="4"/>
      <c r="B18" s="54"/>
      <c r="C18" s="55"/>
      <c r="D18" s="4"/>
      <c r="E18" s="4"/>
      <c r="F18" s="4"/>
      <c r="G18" s="4"/>
      <c r="H18" s="4"/>
      <c r="I18" s="4"/>
      <c r="J18" s="4"/>
      <c r="K18" s="179"/>
      <c r="L18" s="181" t="s">
        <v>130</v>
      </c>
      <c r="M18" s="181"/>
      <c r="N18" s="181"/>
      <c r="O18" s="181"/>
      <c r="P18" s="181"/>
      <c r="Q18" s="182"/>
    </row>
    <row r="19" spans="1:17" ht="14.4">
      <c r="A19" s="4"/>
      <c r="B19" s="54"/>
      <c r="C19" s="55"/>
      <c r="D19" s="4"/>
      <c r="E19" s="4"/>
      <c r="F19" s="4"/>
      <c r="G19" s="4"/>
      <c r="H19" s="4"/>
      <c r="I19" s="4"/>
      <c r="J19" s="4"/>
      <c r="K19" s="179"/>
      <c r="L19" s="4" t="s">
        <v>61</v>
      </c>
      <c r="M19" s="46">
        <f>((($M$9*($P$9^0.52))/(($M$6^0.25)*($M$7^0.75))))*((SIN(RADIANS($M$12)))/((($M$10*COS(RADIANS($M$12)))-1)*(((COS(RADIANS($M$12)))*(TAN(RADIANS($M$4))))-SIN(RADIANS($M$12)))))^1.11</f>
        <v>1.9907851644006762</v>
      </c>
      <c r="N19" s="4" t="s">
        <v>56</v>
      </c>
      <c r="O19" s="47" t="s">
        <v>39</v>
      </c>
      <c r="P19" s="46">
        <f>2*M19</f>
        <v>3.9815703288013524</v>
      </c>
      <c r="Q19" s="5" t="s">
        <v>48</v>
      </c>
    </row>
    <row r="20" spans="1:17" ht="14.4">
      <c r="A20" s="4"/>
      <c r="B20" s="54"/>
      <c r="C20" s="56"/>
      <c r="D20" s="4"/>
      <c r="E20" s="4"/>
      <c r="F20" s="4"/>
      <c r="G20" s="4"/>
      <c r="H20" s="4"/>
      <c r="I20" s="4"/>
      <c r="J20" s="4"/>
      <c r="K20" s="179"/>
      <c r="L20" s="6"/>
      <c r="M20" s="24"/>
      <c r="N20" s="4"/>
      <c r="O20" s="4"/>
      <c r="P20" s="4"/>
      <c r="Q20" s="5"/>
    </row>
    <row r="21" spans="1:17" ht="14.4">
      <c r="A21" s="4"/>
      <c r="B21" s="54"/>
      <c r="C21" s="55"/>
      <c r="D21" s="4"/>
      <c r="E21" s="4"/>
      <c r="F21" s="4"/>
      <c r="G21" s="4"/>
      <c r="H21" s="4"/>
      <c r="I21" s="4"/>
      <c r="J21" s="4"/>
      <c r="K21" s="179"/>
      <c r="L21" s="181" t="s">
        <v>46</v>
      </c>
      <c r="M21" s="181"/>
      <c r="N21" s="181"/>
      <c r="O21" s="181"/>
      <c r="P21" s="181"/>
      <c r="Q21" s="182"/>
    </row>
    <row r="22" spans="1:17" ht="14.4">
      <c r="A22" s="4"/>
      <c r="B22" s="55"/>
      <c r="C22" s="55"/>
      <c r="D22" s="4"/>
      <c r="E22" s="4"/>
      <c r="F22" s="4"/>
      <c r="G22" s="4"/>
      <c r="H22" s="4"/>
      <c r="I22" s="4"/>
      <c r="J22" s="4"/>
      <c r="K22" s="179"/>
      <c r="L22" s="48"/>
      <c r="M22" s="48"/>
      <c r="N22" s="48"/>
      <c r="O22" s="4"/>
      <c r="P22" s="4"/>
      <c r="Q22" s="5"/>
    </row>
    <row r="23" spans="1:17" ht="14.4">
      <c r="A23" s="4"/>
      <c r="B23" s="55"/>
      <c r="C23" s="56"/>
      <c r="D23" s="4"/>
      <c r="E23" s="4"/>
      <c r="F23" s="4"/>
      <c r="G23" s="4"/>
      <c r="H23" s="4"/>
      <c r="I23" s="4"/>
      <c r="J23" s="4"/>
      <c r="K23" s="179"/>
      <c r="L23" s="181" t="s">
        <v>131</v>
      </c>
      <c r="M23" s="181"/>
      <c r="N23" s="181"/>
      <c r="O23" s="181"/>
      <c r="P23" s="181"/>
      <c r="Q23" s="182"/>
    </row>
    <row r="24" spans="1:17" ht="14.4">
      <c r="A24" s="4"/>
      <c r="B24" s="54"/>
      <c r="C24" s="56"/>
      <c r="D24" s="4"/>
      <c r="E24" s="4"/>
      <c r="F24" s="4"/>
      <c r="G24" s="4"/>
      <c r="H24" s="4"/>
      <c r="I24" s="4"/>
      <c r="J24" s="4"/>
      <c r="K24" s="179"/>
      <c r="L24" s="4" t="s">
        <v>133</v>
      </c>
      <c r="M24" s="17">
        <f>2.48*((M7^0.58)/(M6^2.22))*(M11*M19)^0.5</f>
        <v>2.8510696476483814</v>
      </c>
      <c r="N24" s="4" t="s">
        <v>55</v>
      </c>
      <c r="O24" s="6"/>
      <c r="P24" s="4"/>
      <c r="Q24" s="5"/>
    </row>
    <row r="25" spans="1:17">
      <c r="A25" s="4"/>
      <c r="B25" s="4"/>
      <c r="C25" s="4"/>
      <c r="D25" s="4"/>
      <c r="E25" s="4"/>
      <c r="F25" s="4"/>
      <c r="G25" s="4"/>
      <c r="H25" s="4"/>
      <c r="I25" s="4"/>
      <c r="J25" s="4"/>
      <c r="K25" s="179"/>
      <c r="L25" s="4" t="s">
        <v>132</v>
      </c>
      <c r="M25" s="17">
        <f>M5*M24</f>
        <v>1.2829813414417717</v>
      </c>
      <c r="N25" s="4" t="s">
        <v>55</v>
      </c>
      <c r="O25" s="4"/>
      <c r="P25" s="4"/>
      <c r="Q25" s="5"/>
    </row>
    <row r="26" spans="1:17">
      <c r="A26" s="4"/>
      <c r="B26" s="4"/>
      <c r="C26" s="4"/>
      <c r="D26" s="4"/>
      <c r="E26" s="4"/>
      <c r="F26" s="4"/>
      <c r="G26" s="4"/>
      <c r="H26" s="4"/>
      <c r="I26" s="4"/>
      <c r="J26" s="4"/>
      <c r="K26" s="179"/>
      <c r="L26" s="4"/>
      <c r="M26" s="4"/>
      <c r="N26" s="4"/>
      <c r="O26" s="4"/>
      <c r="P26" s="4"/>
      <c r="Q26" s="5"/>
    </row>
    <row r="27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179"/>
      <c r="L27" s="181" t="s">
        <v>126</v>
      </c>
      <c r="M27" s="181"/>
      <c r="N27" s="181"/>
      <c r="O27" s="181"/>
      <c r="P27" s="181"/>
      <c r="Q27" s="182"/>
    </row>
    <row r="28" spans="1:17">
      <c r="A28" s="4"/>
      <c r="B28" s="4"/>
      <c r="C28" s="4"/>
      <c r="D28" s="4"/>
      <c r="E28" s="4"/>
      <c r="F28" s="4"/>
      <c r="G28" s="4"/>
      <c r="H28" s="4"/>
      <c r="I28" s="4"/>
      <c r="J28" s="4"/>
      <c r="K28" s="179"/>
      <c r="L28" s="4" t="s">
        <v>40</v>
      </c>
      <c r="M28" s="44">
        <f>P9/M25</f>
        <v>6.3329058167513148</v>
      </c>
      <c r="N28" s="4" t="s">
        <v>56</v>
      </c>
      <c r="O28" s="4"/>
      <c r="P28" s="4"/>
      <c r="Q28" s="5"/>
    </row>
    <row r="29" spans="1:17">
      <c r="A29" s="4"/>
      <c r="B29" s="4"/>
      <c r="C29" s="4"/>
      <c r="D29" s="4"/>
      <c r="E29" s="4"/>
      <c r="F29" s="4"/>
      <c r="G29" s="4"/>
      <c r="H29" s="4"/>
      <c r="I29" s="4"/>
      <c r="J29" s="4"/>
      <c r="K29" s="179"/>
      <c r="L29" s="4"/>
      <c r="M29" s="4"/>
      <c r="N29" s="4"/>
      <c r="O29" s="4"/>
      <c r="P29" s="4"/>
      <c r="Q29" s="5"/>
    </row>
    <row r="30" spans="1:17">
      <c r="A30" s="4"/>
      <c r="B30" s="4"/>
      <c r="C30" s="4"/>
      <c r="D30" s="4"/>
      <c r="E30" s="4"/>
      <c r="F30" s="4"/>
      <c r="G30" s="4"/>
      <c r="H30" s="4"/>
      <c r="I30" s="4"/>
      <c r="J30" s="4"/>
      <c r="K30" s="179"/>
      <c r="L30" s="47" t="s">
        <v>41</v>
      </c>
      <c r="M30" s="42" t="str">
        <f>IF(M28&lt;P19, "PASS", "FAIL")</f>
        <v>FAIL</v>
      </c>
      <c r="N30" s="183" t="s">
        <v>125</v>
      </c>
      <c r="O30" s="183"/>
      <c r="P30" s="183"/>
      <c r="Q30" s="184"/>
    </row>
    <row r="31" spans="1:17">
      <c r="A31" s="4"/>
      <c r="B31" s="4"/>
      <c r="C31" s="4"/>
      <c r="D31" s="4"/>
      <c r="E31" s="4"/>
      <c r="F31" s="4"/>
      <c r="G31" s="4"/>
      <c r="H31" s="4"/>
      <c r="I31" s="4"/>
      <c r="J31" s="4"/>
      <c r="K31" s="179"/>
      <c r="L31" s="47"/>
      <c r="M31" s="49"/>
      <c r="N31" s="183"/>
      <c r="O31" s="183"/>
      <c r="P31" s="183"/>
      <c r="Q31" s="184"/>
    </row>
    <row r="32" spans="1:17" ht="13.2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179"/>
      <c r="L32" s="47"/>
      <c r="M32" s="49"/>
      <c r="N32" s="4"/>
      <c r="O32" s="4"/>
      <c r="P32" s="4"/>
      <c r="Q32" s="5"/>
    </row>
    <row r="33" spans="1:17" ht="13.2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179"/>
      <c r="L33" s="181" t="s">
        <v>134</v>
      </c>
      <c r="M33" s="181"/>
      <c r="N33" s="181"/>
      <c r="O33" s="181"/>
      <c r="P33" s="181"/>
      <c r="Q33" s="182"/>
    </row>
    <row r="34" spans="1:17" ht="15.6">
      <c r="A34" s="4"/>
      <c r="B34" s="4"/>
      <c r="C34" s="4"/>
      <c r="D34" s="4"/>
      <c r="E34" s="4"/>
      <c r="F34" s="4"/>
      <c r="G34" s="4"/>
      <c r="H34" s="4"/>
      <c r="I34" s="4"/>
      <c r="J34" s="4"/>
      <c r="K34" s="179"/>
      <c r="L34" s="4" t="s">
        <v>171</v>
      </c>
      <c r="M34" s="58">
        <v>1</v>
      </c>
      <c r="N34" s="187" t="s">
        <v>60</v>
      </c>
      <c r="O34" s="187"/>
      <c r="P34" s="187"/>
      <c r="Q34" s="188"/>
    </row>
    <row r="35" spans="1:17">
      <c r="A35" s="4"/>
      <c r="B35" s="4"/>
      <c r="C35" s="4"/>
      <c r="D35" s="4"/>
      <c r="E35" s="4"/>
      <c r="F35" s="4"/>
      <c r="G35" s="4"/>
      <c r="H35" s="4"/>
      <c r="I35" s="4"/>
      <c r="J35" s="4"/>
      <c r="K35" s="179"/>
      <c r="L35" s="4"/>
      <c r="M35" s="4"/>
      <c r="N35" s="183"/>
      <c r="O35" s="183"/>
      <c r="P35" s="183"/>
      <c r="Q35" s="184"/>
    </row>
    <row r="36" spans="1:17">
      <c r="A36" s="4"/>
      <c r="B36" s="4"/>
      <c r="C36" s="4"/>
      <c r="D36" s="4"/>
      <c r="E36" s="4"/>
      <c r="F36" s="4"/>
      <c r="G36" s="4"/>
      <c r="H36" s="4"/>
      <c r="I36" s="4"/>
      <c r="J36" s="4"/>
      <c r="K36" s="179"/>
      <c r="L36" s="4" t="s">
        <v>62</v>
      </c>
      <c r="M36" s="51">
        <f>M19*M34</f>
        <v>1.9907851644006762</v>
      </c>
      <c r="N36" s="4" t="s">
        <v>56</v>
      </c>
      <c r="O36" s="47" t="s">
        <v>39</v>
      </c>
      <c r="P36" s="46">
        <f>2*M36</f>
        <v>3.9815703288013524</v>
      </c>
      <c r="Q36" s="5"/>
    </row>
    <row r="37" spans="1:17">
      <c r="A37" s="4"/>
      <c r="B37" s="4"/>
      <c r="C37" s="4"/>
      <c r="D37" s="4"/>
      <c r="E37" s="4"/>
      <c r="F37" s="4"/>
      <c r="G37" s="4"/>
      <c r="H37" s="4"/>
      <c r="I37" s="4"/>
      <c r="J37" s="4"/>
      <c r="K37" s="179"/>
      <c r="L37" s="4" t="s">
        <v>127</v>
      </c>
      <c r="M37" s="17">
        <f>2.48*((M7^0.58)/(M6^2.22))*(M11*M36)^0.5</f>
        <v>2.8510696476483814</v>
      </c>
      <c r="N37" s="4" t="s">
        <v>55</v>
      </c>
      <c r="O37" s="47"/>
      <c r="P37" s="46"/>
      <c r="Q37" s="5"/>
    </row>
    <row r="38" spans="1:17">
      <c r="A38" s="4"/>
      <c r="B38" s="4"/>
      <c r="C38" s="4"/>
      <c r="D38" s="4"/>
      <c r="E38" s="4"/>
      <c r="F38" s="4"/>
      <c r="G38" s="4"/>
      <c r="H38" s="4"/>
      <c r="I38" s="4"/>
      <c r="J38" s="4"/>
      <c r="K38" s="179"/>
      <c r="L38" s="4" t="s">
        <v>58</v>
      </c>
      <c r="M38" s="17">
        <f>M5*M37</f>
        <v>1.2829813414417717</v>
      </c>
      <c r="N38" s="4" t="s">
        <v>55</v>
      </c>
      <c r="O38" s="47"/>
      <c r="P38" s="46"/>
      <c r="Q38" s="5"/>
    </row>
    <row r="39" spans="1:17">
      <c r="A39" s="4"/>
      <c r="B39" s="4"/>
      <c r="C39" s="4"/>
      <c r="D39" s="4"/>
      <c r="E39" s="4"/>
      <c r="F39" s="4"/>
      <c r="G39" s="4"/>
      <c r="H39" s="4"/>
      <c r="I39" s="4"/>
      <c r="J39" s="4"/>
      <c r="K39" s="179"/>
      <c r="L39" s="4" t="s">
        <v>40</v>
      </c>
      <c r="M39" s="44">
        <f>P9/M38</f>
        <v>6.3329058167513148</v>
      </c>
      <c r="N39" s="4" t="s">
        <v>56</v>
      </c>
      <c r="O39" s="47"/>
      <c r="P39" s="46"/>
      <c r="Q39" s="5"/>
    </row>
    <row r="40" spans="1:17">
      <c r="A40" s="4"/>
      <c r="B40" s="4"/>
      <c r="C40" s="4"/>
      <c r="D40" s="4"/>
      <c r="E40" s="4"/>
      <c r="F40" s="4"/>
      <c r="G40" s="4"/>
      <c r="H40" s="4"/>
      <c r="I40" s="4"/>
      <c r="J40" s="4"/>
      <c r="K40" s="179"/>
      <c r="L40" s="6"/>
      <c r="M40" s="51"/>
      <c r="N40" s="4"/>
      <c r="O40" s="47"/>
      <c r="P40" s="46"/>
      <c r="Q40" s="5"/>
    </row>
    <row r="41" spans="1:17">
      <c r="A41" s="4"/>
      <c r="B41" s="4"/>
      <c r="C41" s="4"/>
      <c r="D41" s="4"/>
      <c r="E41" s="4"/>
      <c r="F41" s="4"/>
      <c r="G41" s="4"/>
      <c r="H41" s="4"/>
      <c r="I41" s="4"/>
      <c r="J41" s="4"/>
      <c r="K41" s="179"/>
      <c r="L41" s="47" t="s">
        <v>41</v>
      </c>
      <c r="M41" s="42" t="str">
        <f>IF(M39&lt;P36, "PASS", "FAIL")</f>
        <v>FAIL</v>
      </c>
      <c r="N41" s="183" t="s">
        <v>59</v>
      </c>
      <c r="O41" s="183"/>
      <c r="P41" s="183"/>
      <c r="Q41" s="184"/>
    </row>
    <row r="42" spans="1:17" ht="13.8" thickBot="1">
      <c r="A42" s="4"/>
      <c r="B42" s="4"/>
      <c r="C42" s="4"/>
      <c r="D42" s="4"/>
      <c r="E42" s="4"/>
      <c r="F42" s="4"/>
      <c r="G42" s="4"/>
      <c r="H42" s="4"/>
      <c r="I42" s="4"/>
      <c r="J42" s="4"/>
      <c r="K42" s="180"/>
      <c r="L42" s="50"/>
      <c r="M42" s="52"/>
      <c r="N42" s="185"/>
      <c r="O42" s="185"/>
      <c r="P42" s="185"/>
      <c r="Q42" s="186"/>
    </row>
    <row r="43" spans="1:17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6"/>
      <c r="M43" s="51"/>
      <c r="N43" s="4"/>
      <c r="O43" s="4"/>
      <c r="P43" s="4"/>
      <c r="Q43" s="4"/>
    </row>
    <row r="44" spans="1:17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6" t="s">
        <v>42</v>
      </c>
      <c r="M44" s="4"/>
      <c r="N44" s="4"/>
      <c r="O44" s="4"/>
      <c r="P44" s="4"/>
      <c r="Q44" s="4"/>
    </row>
    <row r="45" spans="1:17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 t="s">
        <v>64</v>
      </c>
      <c r="M45" s="4"/>
      <c r="N45" s="4"/>
      <c r="O45" s="4"/>
      <c r="P45" s="4"/>
      <c r="Q45" s="4"/>
    </row>
    <row r="46" spans="1:1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 t="s">
        <v>177</v>
      </c>
      <c r="M46" s="4"/>
      <c r="N46" s="4"/>
      <c r="O46" s="4"/>
      <c r="P46" s="4"/>
      <c r="Q46" s="4"/>
    </row>
    <row r="47" spans="1:17">
      <c r="A47" s="153">
        <v>42948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 t="s">
        <v>172</v>
      </c>
      <c r="M47" s="57"/>
      <c r="N47" s="57"/>
      <c r="O47" s="57"/>
      <c r="P47" s="4"/>
      <c r="Q47" s="4"/>
    </row>
    <row r="48" spans="1:17">
      <c r="L48" s="30"/>
      <c r="M48" s="30"/>
      <c r="N48" s="30"/>
      <c r="O48" s="30"/>
    </row>
    <row r="49" spans="12:12">
      <c r="L49" s="30"/>
    </row>
    <row r="67" ht="13.2" customHeight="1"/>
  </sheetData>
  <sheetProtection algorithmName="SHA-512" hashValue="k8RNXb25AxuaUGpcgOxWC7PLTWWX5KOi0YKkIR4uwawFqJWpioOrY3nFbqfYOm9gXgIRJQFawV10Qp2tJ5EuPw==" saltValue="FeToXlA9nUSREL5kfpYFDA==" spinCount="100000" sheet="1" selectLockedCells="1"/>
  <mergeCells count="15">
    <mergeCell ref="K1:Q2"/>
    <mergeCell ref="K15:K42"/>
    <mergeCell ref="L27:Q27"/>
    <mergeCell ref="L33:Q33"/>
    <mergeCell ref="N30:Q31"/>
    <mergeCell ref="N41:Q42"/>
    <mergeCell ref="N34:Q35"/>
    <mergeCell ref="K3:K7"/>
    <mergeCell ref="L15:Q15"/>
    <mergeCell ref="L18:Q18"/>
    <mergeCell ref="L21:Q21"/>
    <mergeCell ref="L23:Q23"/>
    <mergeCell ref="L3:N3"/>
    <mergeCell ref="O3:Q3"/>
    <mergeCell ref="K9:K13"/>
  </mergeCells>
  <pageMargins left="0.7" right="0.7" top="0.75" bottom="0.75" header="0.3" footer="0.3"/>
  <pageSetup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K1:AH35"/>
  <sheetViews>
    <sheetView showGridLines="0" zoomScale="81" zoomScaleNormal="81" workbookViewId="0">
      <selection activeCell="U3" sqref="U3"/>
    </sheetView>
  </sheetViews>
  <sheetFormatPr defaultRowHeight="13.2"/>
  <cols>
    <col min="11" max="11" width="12.33203125" customWidth="1"/>
    <col min="12" max="12" width="22.109375" customWidth="1"/>
    <col min="13" max="13" width="5.6640625" customWidth="1"/>
    <col min="16" max="16" width="5.109375" customWidth="1"/>
    <col min="17" max="17" width="3.6640625" customWidth="1"/>
    <col min="18" max="18" width="4.109375" customWidth="1"/>
    <col min="21" max="21" width="10.33203125" bestFit="1" customWidth="1"/>
  </cols>
  <sheetData>
    <row r="1" spans="11:34" ht="19.95" customHeight="1">
      <c r="K1" s="62" t="s">
        <v>136</v>
      </c>
      <c r="T1" s="192" t="s">
        <v>0</v>
      </c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4"/>
    </row>
    <row r="2" spans="11:34" ht="20.7" customHeight="1" thickBot="1">
      <c r="K2" s="62"/>
      <c r="T2" s="195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7"/>
    </row>
    <row r="3" spans="11:34" ht="15.6">
      <c r="K3" s="63" t="s">
        <v>137</v>
      </c>
      <c r="L3" s="63" t="s">
        <v>138</v>
      </c>
      <c r="M3" s="63" t="s">
        <v>139</v>
      </c>
      <c r="N3" s="63" t="s">
        <v>140</v>
      </c>
      <c r="T3" s="198" t="s">
        <v>1</v>
      </c>
      <c r="U3" s="59">
        <v>2</v>
      </c>
      <c r="V3" s="1" t="s">
        <v>2</v>
      </c>
      <c r="W3" s="2"/>
      <c r="X3" s="2"/>
      <c r="Y3" s="2"/>
      <c r="Z3" s="3"/>
      <c r="AA3" s="4"/>
      <c r="AB3" s="200" t="s">
        <v>3</v>
      </c>
      <c r="AC3" s="200"/>
      <c r="AD3" s="200"/>
      <c r="AE3" s="200"/>
      <c r="AF3" s="4"/>
      <c r="AG3" s="4"/>
      <c r="AH3" s="5"/>
    </row>
    <row r="4" spans="11:34" ht="16.2" thickBot="1">
      <c r="K4" s="63" t="s">
        <v>141</v>
      </c>
      <c r="L4" s="63" t="s">
        <v>142</v>
      </c>
      <c r="M4" s="63" t="s">
        <v>143</v>
      </c>
      <c r="N4" s="63" t="s">
        <v>144</v>
      </c>
      <c r="T4" s="199"/>
      <c r="U4" s="60">
        <v>16</v>
      </c>
      <c r="V4" s="6" t="s">
        <v>4</v>
      </c>
      <c r="W4" s="4"/>
      <c r="X4" s="4"/>
      <c r="Y4" s="4"/>
      <c r="Z4" s="5"/>
      <c r="AA4" s="4"/>
      <c r="AB4" s="7" t="s">
        <v>5</v>
      </c>
      <c r="AC4" s="7" t="s">
        <v>6</v>
      </c>
      <c r="AD4" s="7" t="s">
        <v>5</v>
      </c>
      <c r="AE4" s="7" t="s">
        <v>6</v>
      </c>
      <c r="AF4" s="4"/>
      <c r="AG4" s="4"/>
      <c r="AH4" s="5"/>
    </row>
    <row r="5" spans="11:34" ht="16.2" thickTop="1">
      <c r="K5" s="63" t="s">
        <v>145</v>
      </c>
      <c r="L5" s="63" t="s">
        <v>146</v>
      </c>
      <c r="M5" s="63" t="s">
        <v>147</v>
      </c>
      <c r="N5" s="63" t="s">
        <v>148</v>
      </c>
      <c r="T5" s="199"/>
      <c r="U5" s="60">
        <v>26.6</v>
      </c>
      <c r="V5" s="6" t="s">
        <v>7</v>
      </c>
      <c r="W5" s="4"/>
      <c r="X5" s="4"/>
      <c r="Y5" s="4"/>
      <c r="Z5" s="5"/>
      <c r="AA5" s="4"/>
      <c r="AB5" s="8">
        <v>0</v>
      </c>
      <c r="AC5" s="9">
        <f>DEGREES(ATAN(AB5/100))</f>
        <v>0</v>
      </c>
      <c r="AD5" s="8">
        <v>52</v>
      </c>
      <c r="AE5" s="9">
        <f>DEGREES(ATAN(AD5/100))</f>
        <v>27.474431626277134</v>
      </c>
      <c r="AF5" s="4"/>
      <c r="AG5" s="10"/>
      <c r="AH5" s="5" t="str">
        <f>"= 1h:1v"</f>
        <v>= 1h:1v</v>
      </c>
    </row>
    <row r="6" spans="11:34" ht="15.6">
      <c r="K6" s="63" t="s">
        <v>149</v>
      </c>
      <c r="L6" s="63" t="s">
        <v>150</v>
      </c>
      <c r="M6" s="63" t="s">
        <v>151</v>
      </c>
      <c r="N6" s="63" t="s">
        <v>152</v>
      </c>
      <c r="T6" s="199"/>
      <c r="U6" s="60">
        <v>26.6</v>
      </c>
      <c r="V6" s="6" t="s">
        <v>8</v>
      </c>
      <c r="W6" s="4"/>
      <c r="X6" s="4"/>
      <c r="Y6" s="4"/>
      <c r="Z6" s="5"/>
      <c r="AA6" s="4"/>
      <c r="AB6" s="11">
        <v>2</v>
      </c>
      <c r="AC6" s="9">
        <f t="shared" ref="AC6:AC30" si="0">DEGREES(ATAN(AB6/100))</f>
        <v>1.1457628381751035</v>
      </c>
      <c r="AD6" s="11">
        <v>54</v>
      </c>
      <c r="AE6" s="9">
        <f t="shared" ref="AE6:AE30" si="1">DEGREES(ATAN(AD6/100))</f>
        <v>28.369046293278583</v>
      </c>
      <c r="AF6" s="4"/>
      <c r="AG6" s="12"/>
      <c r="AH6" s="5" t="str">
        <f>"= 1.5h:1v"</f>
        <v>= 1.5h:1v</v>
      </c>
    </row>
    <row r="7" spans="11:34" ht="15.6">
      <c r="K7" s="63" t="s">
        <v>153</v>
      </c>
      <c r="L7" s="63" t="s">
        <v>154</v>
      </c>
      <c r="M7" s="63" t="s">
        <v>155</v>
      </c>
      <c r="N7" s="63" t="s">
        <v>156</v>
      </c>
      <c r="T7" s="199"/>
      <c r="U7" s="60">
        <v>2</v>
      </c>
      <c r="V7" s="6" t="s">
        <v>9</v>
      </c>
      <c r="W7" s="4"/>
      <c r="X7" s="4"/>
      <c r="Y7" s="4"/>
      <c r="Z7" s="5"/>
      <c r="AA7" s="4"/>
      <c r="AB7" s="11">
        <v>4</v>
      </c>
      <c r="AC7" s="9">
        <f t="shared" si="0"/>
        <v>2.2906100426385296</v>
      </c>
      <c r="AD7" s="11">
        <v>56</v>
      </c>
      <c r="AE7" s="9">
        <f t="shared" si="1"/>
        <v>29.24882633654698</v>
      </c>
      <c r="AF7" s="4"/>
      <c r="AG7" s="13"/>
      <c r="AH7" s="5" t="str">
        <f>"= 2h:1v"</f>
        <v>= 2h:1v</v>
      </c>
    </row>
    <row r="8" spans="11:34" ht="15.6">
      <c r="K8" s="63" t="s">
        <v>157</v>
      </c>
      <c r="L8" s="63" t="s">
        <v>158</v>
      </c>
      <c r="M8" s="63" t="s">
        <v>159</v>
      </c>
      <c r="N8" s="63" t="s">
        <v>160</v>
      </c>
      <c r="T8" s="199"/>
      <c r="U8" s="60">
        <v>33.700000000000003</v>
      </c>
      <c r="V8" s="6" t="s">
        <v>10</v>
      </c>
      <c r="W8" s="4"/>
      <c r="X8" s="4"/>
      <c r="Y8" s="4"/>
      <c r="Z8" s="5"/>
      <c r="AA8" s="4"/>
      <c r="AB8" s="11">
        <v>6</v>
      </c>
      <c r="AC8" s="9">
        <f t="shared" si="0"/>
        <v>3.433630362450522</v>
      </c>
      <c r="AD8" s="11">
        <v>58</v>
      </c>
      <c r="AE8" s="9">
        <f t="shared" si="1"/>
        <v>30.113733150982437</v>
      </c>
      <c r="AF8" s="4"/>
      <c r="AG8" s="4"/>
      <c r="AH8" s="5"/>
    </row>
    <row r="9" spans="11:34" ht="15.6">
      <c r="K9" s="63" t="s">
        <v>161</v>
      </c>
      <c r="L9" s="63" t="s">
        <v>162</v>
      </c>
      <c r="M9" s="63" t="s">
        <v>163</v>
      </c>
      <c r="N9" s="63" t="s">
        <v>164</v>
      </c>
      <c r="T9" s="199"/>
      <c r="U9" s="60">
        <v>11.3</v>
      </c>
      <c r="V9" s="6" t="s">
        <v>11</v>
      </c>
      <c r="W9" s="4"/>
      <c r="X9" s="4"/>
      <c r="Y9" s="4"/>
      <c r="Z9" s="5"/>
      <c r="AA9" s="4"/>
      <c r="AB9" s="11">
        <v>8</v>
      </c>
      <c r="AC9" s="9">
        <f t="shared" si="0"/>
        <v>4.5739212599008612</v>
      </c>
      <c r="AD9" s="11">
        <v>60</v>
      </c>
      <c r="AE9" s="9">
        <f t="shared" si="1"/>
        <v>30.963756532073521</v>
      </c>
      <c r="AF9" s="4"/>
      <c r="AG9" s="4"/>
      <c r="AH9" s="5"/>
    </row>
    <row r="10" spans="11:34" ht="15.6">
      <c r="K10" s="63" t="s">
        <v>165</v>
      </c>
      <c r="L10" s="63" t="s">
        <v>166</v>
      </c>
      <c r="M10" s="63" t="s">
        <v>167</v>
      </c>
      <c r="N10" s="63" t="s">
        <v>168</v>
      </c>
      <c r="T10" s="14"/>
      <c r="U10" s="4"/>
      <c r="V10" s="6"/>
      <c r="W10" s="4"/>
      <c r="X10" s="4"/>
      <c r="Y10" s="4"/>
      <c r="Z10" s="5"/>
      <c r="AA10" s="4"/>
      <c r="AB10" s="11">
        <v>10</v>
      </c>
      <c r="AC10" s="9">
        <f t="shared" si="0"/>
        <v>5.710593137499643</v>
      </c>
      <c r="AD10" s="11">
        <v>62</v>
      </c>
      <c r="AE10" s="9">
        <f t="shared" si="1"/>
        <v>31.798912824294419</v>
      </c>
      <c r="AF10" s="4"/>
      <c r="AG10" s="4"/>
      <c r="AH10" s="5"/>
    </row>
    <row r="11" spans="11:34" ht="15">
      <c r="K11" s="63"/>
      <c r="T11" s="14"/>
      <c r="U11" s="4"/>
      <c r="V11" s="4"/>
      <c r="W11" s="4"/>
      <c r="X11" s="4"/>
      <c r="Y11" s="4"/>
      <c r="Z11" s="5"/>
      <c r="AA11" s="4"/>
      <c r="AB11" s="11">
        <v>12</v>
      </c>
      <c r="AC11" s="9">
        <f t="shared" si="0"/>
        <v>6.8427734126309403</v>
      </c>
      <c r="AD11" s="11">
        <v>64</v>
      </c>
      <c r="AE11" s="9">
        <f t="shared" si="1"/>
        <v>32.619243071192827</v>
      </c>
      <c r="AF11" s="4"/>
      <c r="AG11" s="4"/>
      <c r="AH11" s="5"/>
    </row>
    <row r="12" spans="11:34" ht="14.4">
      <c r="K12" s="62" t="s">
        <v>169</v>
      </c>
      <c r="T12" s="199" t="s">
        <v>12</v>
      </c>
      <c r="U12" s="4">
        <f>U7</f>
        <v>2</v>
      </c>
      <c r="V12" s="6" t="s">
        <v>13</v>
      </c>
      <c r="W12" s="4"/>
      <c r="X12" s="4"/>
      <c r="Y12" s="4"/>
      <c r="Z12" s="5"/>
      <c r="AA12" s="4"/>
      <c r="AB12" s="11">
        <v>14</v>
      </c>
      <c r="AC12" s="9">
        <f t="shared" si="0"/>
        <v>7.9696103943213599</v>
      </c>
      <c r="AD12" s="15">
        <v>66</v>
      </c>
      <c r="AE12" s="16">
        <f t="shared" si="1"/>
        <v>33.424811182603804</v>
      </c>
      <c r="AF12" s="4"/>
      <c r="AG12" s="4"/>
      <c r="AH12" s="5"/>
    </row>
    <row r="13" spans="11:34" ht="14.4">
      <c r="K13" s="63"/>
      <c r="T13" s="199"/>
      <c r="U13" s="17">
        <f>U12*(TAN(RADIANS(U5)))</f>
        <v>1.0015253954876873</v>
      </c>
      <c r="V13" s="6" t="s">
        <v>14</v>
      </c>
      <c r="W13" s="4"/>
      <c r="X13" s="4"/>
      <c r="Y13" s="4"/>
      <c r="Z13" s="5"/>
      <c r="AA13" s="4"/>
      <c r="AB13" s="11">
        <v>16</v>
      </c>
      <c r="AC13" s="9">
        <f t="shared" si="0"/>
        <v>9.0902769208223226</v>
      </c>
      <c r="AD13" s="18">
        <v>68</v>
      </c>
      <c r="AE13" s="19">
        <f t="shared" si="1"/>
        <v>34.215702132437407</v>
      </c>
      <c r="AF13" s="4"/>
      <c r="AG13" s="4"/>
      <c r="AH13" s="5"/>
    </row>
    <row r="14" spans="11:34" ht="14.4">
      <c r="K14" s="63"/>
      <c r="T14" s="199"/>
      <c r="U14" s="17">
        <f>U17*(COS(RADIANS(U24)))</f>
        <v>8.9808922104298681</v>
      </c>
      <c r="V14" s="6" t="s">
        <v>15</v>
      </c>
      <c r="W14" s="4"/>
      <c r="X14" s="4"/>
      <c r="Y14" s="4"/>
      <c r="Z14" s="5"/>
      <c r="AA14" s="4"/>
      <c r="AB14" s="11">
        <v>18</v>
      </c>
      <c r="AC14" s="9">
        <f t="shared" si="0"/>
        <v>10.203973721731684</v>
      </c>
      <c r="AD14" s="18">
        <v>70</v>
      </c>
      <c r="AE14" s="19">
        <f t="shared" si="1"/>
        <v>34.992020198558663</v>
      </c>
      <c r="AF14" s="4"/>
      <c r="AG14" s="4"/>
      <c r="AH14" s="5"/>
    </row>
    <row r="15" spans="11:34" ht="14.4">
      <c r="K15" s="63"/>
      <c r="T15" s="199"/>
      <c r="U15" s="17">
        <f>U17*(SIN(RADIANS(U24)))</f>
        <v>17.934427326341876</v>
      </c>
      <c r="V15" s="6" t="s">
        <v>16</v>
      </c>
      <c r="W15" s="4"/>
      <c r="X15" s="4"/>
      <c r="Y15" s="4"/>
      <c r="Z15" s="5"/>
      <c r="AA15" s="4"/>
      <c r="AB15" s="11">
        <v>20</v>
      </c>
      <c r="AC15" s="9">
        <f t="shared" si="0"/>
        <v>11.309932474020215</v>
      </c>
      <c r="AD15" s="18">
        <v>72</v>
      </c>
      <c r="AE15" s="19">
        <f t="shared" si="1"/>
        <v>35.753887254436748</v>
      </c>
      <c r="AF15" s="4"/>
      <c r="AG15" s="4"/>
      <c r="AH15" s="5"/>
    </row>
    <row r="16" spans="11:34" ht="14.4">
      <c r="K16" s="63"/>
      <c r="T16" s="199"/>
      <c r="U16" s="17">
        <f>U12/((COS(RADIANS(U5))))</f>
        <v>2.2367505712096665</v>
      </c>
      <c r="V16" s="6" t="s">
        <v>17</v>
      </c>
      <c r="W16" s="4"/>
      <c r="X16" s="4"/>
      <c r="Y16" s="4"/>
      <c r="Z16" s="5"/>
      <c r="AA16" s="4"/>
      <c r="AB16" s="11">
        <v>22</v>
      </c>
      <c r="AC16" s="9">
        <f t="shared" si="0"/>
        <v>12.407418527400745</v>
      </c>
      <c r="AD16" s="18">
        <v>74</v>
      </c>
      <c r="AE16" s="19">
        <f t="shared" si="1"/>
        <v>36.501441120506314</v>
      </c>
      <c r="AF16" s="4"/>
      <c r="AG16" s="4"/>
      <c r="AH16" s="5"/>
    </row>
    <row r="17" spans="20:34">
      <c r="T17" s="199"/>
      <c r="U17" s="17">
        <f>SIN(RADIANS(U26))*U21/SIN(RADIANS(U25))</f>
        <v>20.057420283256722</v>
      </c>
      <c r="V17" s="6" t="s">
        <v>18</v>
      </c>
      <c r="W17" s="4"/>
      <c r="X17" s="4"/>
      <c r="Y17" s="4"/>
      <c r="Z17" s="5"/>
      <c r="AA17" s="4"/>
      <c r="AB17" s="11">
        <v>24</v>
      </c>
      <c r="AC17" s="9">
        <f t="shared" si="0"/>
        <v>13.495733280795811</v>
      </c>
      <c r="AD17" s="18">
        <v>76</v>
      </c>
      <c r="AE17" s="19">
        <f t="shared" si="1"/>
        <v>37.234833981574667</v>
      </c>
      <c r="AF17" s="4"/>
      <c r="AG17" s="4"/>
      <c r="AH17" s="5"/>
    </row>
    <row r="18" spans="20:34">
      <c r="T18" s="199"/>
      <c r="U18" s="17">
        <f>U3+2*(U12*(TAN(RADIANS(180-90-U8))))</f>
        <v>7.9977469789652282</v>
      </c>
      <c r="V18" s="6" t="s">
        <v>19</v>
      </c>
      <c r="W18" s="4"/>
      <c r="X18" s="4"/>
      <c r="Y18" s="4"/>
      <c r="Z18" s="5"/>
      <c r="AA18" s="4"/>
      <c r="AB18" s="11">
        <v>26</v>
      </c>
      <c r="AC18" s="9">
        <f t="shared" si="0"/>
        <v>14.574216198038739</v>
      </c>
      <c r="AD18" s="18">
        <v>78</v>
      </c>
      <c r="AE18" s="19">
        <f t="shared" si="1"/>
        <v>37.954230875132517</v>
      </c>
      <c r="AF18" s="4"/>
      <c r="AG18" s="4"/>
      <c r="AH18" s="5"/>
    </row>
    <row r="19" spans="20:34">
      <c r="T19" s="199"/>
      <c r="U19" s="17">
        <f>U4+2*(U14*(TAN(RADIANS(180-90-U8))))</f>
        <v>42.932559561759049</v>
      </c>
      <c r="V19" s="6" t="s">
        <v>20</v>
      </c>
      <c r="W19" s="4"/>
      <c r="X19" s="4"/>
      <c r="Y19" s="4"/>
      <c r="Z19" s="5"/>
      <c r="AA19" s="4"/>
      <c r="AB19" s="11">
        <v>28</v>
      </c>
      <c r="AC19" s="9">
        <f t="shared" si="0"/>
        <v>15.642246457208728</v>
      </c>
      <c r="AD19" s="18">
        <v>80</v>
      </c>
      <c r="AE19" s="19">
        <f t="shared" si="1"/>
        <v>38.659808254090095</v>
      </c>
      <c r="AF19" s="4"/>
      <c r="AG19" s="4"/>
      <c r="AH19" s="5"/>
    </row>
    <row r="20" spans="20:34">
      <c r="T20" s="199"/>
      <c r="U20" s="17">
        <f>(U18+U19)/2</f>
        <v>25.465153270362137</v>
      </c>
      <c r="V20" s="6" t="s">
        <v>21</v>
      </c>
      <c r="W20" s="4"/>
      <c r="X20" s="4"/>
      <c r="Y20" s="4"/>
      <c r="Z20" s="5"/>
      <c r="AA20" s="4"/>
      <c r="AB20" s="11">
        <v>30</v>
      </c>
      <c r="AC20" s="9">
        <f t="shared" si="0"/>
        <v>16.699244233993621</v>
      </c>
      <c r="AD20" s="18">
        <v>82</v>
      </c>
      <c r="AE20" s="19">
        <f t="shared" si="1"/>
        <v>39.351752626264734</v>
      </c>
      <c r="AF20" s="4"/>
      <c r="AG20" s="4"/>
      <c r="AH20" s="5"/>
    </row>
    <row r="21" spans="20:34">
      <c r="T21" s="199"/>
      <c r="U21" s="17">
        <f>(U13+U4)*(TAN(RADIANS(U9)))+U12</f>
        <v>5.3972400049827556</v>
      </c>
      <c r="V21" s="6" t="s">
        <v>22</v>
      </c>
      <c r="W21" s="4"/>
      <c r="X21" s="4"/>
      <c r="Y21" s="4"/>
      <c r="Z21" s="5"/>
      <c r="AA21" s="4"/>
      <c r="AB21" s="11">
        <v>32</v>
      </c>
      <c r="AC21" s="9">
        <f t="shared" si="0"/>
        <v>17.744671625056935</v>
      </c>
      <c r="AD21" s="18">
        <v>84</v>
      </c>
      <c r="AE21" s="19">
        <f t="shared" si="1"/>
        <v>40.030259271889697</v>
      </c>
      <c r="AF21" s="4"/>
      <c r="AG21" s="4"/>
      <c r="AH21" s="5"/>
    </row>
    <row r="22" spans="20:34">
      <c r="T22" s="199"/>
      <c r="U22" s="17">
        <f>(U13*(TAN(RADIANS(U9))))+U12</f>
        <v>2.2001245217949661</v>
      </c>
      <c r="V22" s="6" t="s">
        <v>23</v>
      </c>
      <c r="W22" s="4"/>
      <c r="X22" s="4"/>
      <c r="Y22" s="4"/>
      <c r="Z22" s="5"/>
      <c r="AA22" s="4"/>
      <c r="AB22" s="11">
        <v>34</v>
      </c>
      <c r="AC22" s="9">
        <f t="shared" si="0"/>
        <v>18.778033222445544</v>
      </c>
      <c r="AD22" s="18">
        <v>86</v>
      </c>
      <c r="AE22" s="19">
        <f t="shared" si="1"/>
        <v>40.695531039492018</v>
      </c>
      <c r="AF22" s="4"/>
      <c r="AG22" s="4"/>
      <c r="AH22" s="5"/>
    </row>
    <row r="23" spans="20:34">
      <c r="T23" s="199"/>
      <c r="U23" s="4"/>
      <c r="V23" s="4"/>
      <c r="W23" s="4"/>
      <c r="X23" s="4"/>
      <c r="Y23" s="4"/>
      <c r="Z23" s="5"/>
      <c r="AA23" s="4"/>
      <c r="AB23" s="11">
        <v>36</v>
      </c>
      <c r="AC23" s="9">
        <f t="shared" si="0"/>
        <v>19.798876354524932</v>
      </c>
      <c r="AD23" s="18">
        <v>88</v>
      </c>
      <c r="AE23" s="19">
        <f t="shared" si="1"/>
        <v>41.347777219693668</v>
      </c>
      <c r="AF23" s="4"/>
      <c r="AG23" s="4"/>
      <c r="AH23" s="5"/>
    </row>
    <row r="24" spans="20:34">
      <c r="T24" s="199"/>
      <c r="U24" s="17">
        <f>90-U6</f>
        <v>63.4</v>
      </c>
      <c r="V24" s="4" t="s">
        <v>24</v>
      </c>
      <c r="W24" s="4"/>
      <c r="X24" s="4"/>
      <c r="Y24" s="4"/>
      <c r="Z24" s="5"/>
      <c r="AA24" s="4"/>
      <c r="AB24" s="11">
        <v>38</v>
      </c>
      <c r="AC24" s="9">
        <f t="shared" si="0"/>
        <v>20.80679101271123</v>
      </c>
      <c r="AD24" s="18">
        <v>90</v>
      </c>
      <c r="AE24" s="19">
        <f t="shared" si="1"/>
        <v>41.987212495816657</v>
      </c>
      <c r="AF24" s="4"/>
      <c r="AG24" s="4"/>
      <c r="AH24" s="5"/>
    </row>
    <row r="25" spans="20:34">
      <c r="T25" s="199"/>
      <c r="U25" s="17">
        <f>U6-U9</f>
        <v>15.3</v>
      </c>
      <c r="V25" s="4" t="s">
        <v>25</v>
      </c>
      <c r="W25" s="4"/>
      <c r="X25" s="4"/>
      <c r="Y25" s="4"/>
      <c r="Z25" s="5"/>
      <c r="AA25" s="4"/>
      <c r="AB25" s="11">
        <v>40</v>
      </c>
      <c r="AC25" s="9">
        <f t="shared" si="0"/>
        <v>21.801409486351812</v>
      </c>
      <c r="AD25" s="18">
        <v>92</v>
      </c>
      <c r="AE25" s="19">
        <f t="shared" si="1"/>
        <v>42.614055969611186</v>
      </c>
      <c r="AF25" s="4"/>
      <c r="AG25" s="4"/>
      <c r="AH25" s="5"/>
    </row>
    <row r="26" spans="20:34">
      <c r="T26" s="199"/>
      <c r="U26" s="17">
        <f>180-(U24+U25)</f>
        <v>101.3</v>
      </c>
      <c r="V26" s="4" t="s">
        <v>26</v>
      </c>
      <c r="W26" s="4"/>
      <c r="X26" s="4"/>
      <c r="Y26" s="17"/>
      <c r="Z26" s="5"/>
      <c r="AA26" s="4"/>
      <c r="AB26" s="11">
        <v>42</v>
      </c>
      <c r="AC26" s="9">
        <f t="shared" si="0"/>
        <v>22.782405730481688</v>
      </c>
      <c r="AD26" s="18">
        <v>94</v>
      </c>
      <c r="AE26" s="19">
        <f t="shared" si="1"/>
        <v>43.228530259965922</v>
      </c>
      <c r="AF26" s="4"/>
      <c r="AG26" s="4"/>
      <c r="AH26" s="5"/>
    </row>
    <row r="27" spans="20:34">
      <c r="T27" s="199"/>
      <c r="U27" s="4"/>
      <c r="V27" s="4"/>
      <c r="W27" s="4"/>
      <c r="X27" s="4"/>
      <c r="Y27" s="17"/>
      <c r="Z27" s="5"/>
      <c r="AA27" s="4"/>
      <c r="AB27" s="11">
        <v>44</v>
      </c>
      <c r="AC27" s="9">
        <f t="shared" si="0"/>
        <v>23.749494492866763</v>
      </c>
      <c r="AD27" s="18">
        <v>96</v>
      </c>
      <c r="AE27" s="19">
        <f t="shared" si="1"/>
        <v>43.830860672092584</v>
      </c>
      <c r="AF27" s="4"/>
      <c r="AG27" s="4"/>
      <c r="AH27" s="5"/>
    </row>
    <row r="28" spans="20:34">
      <c r="T28" s="199"/>
      <c r="U28" s="17">
        <f>1/2*((U18+U3)/2)*U22*U13</f>
        <v>5.5074603325070219</v>
      </c>
      <c r="V28" s="4" t="s">
        <v>27</v>
      </c>
      <c r="W28" s="4"/>
      <c r="X28" s="4"/>
      <c r="Y28" s="4"/>
      <c r="Z28" s="5"/>
      <c r="AA28" s="4"/>
      <c r="AB28" s="11">
        <v>46</v>
      </c>
      <c r="AC28" s="9">
        <f t="shared" si="0"/>
        <v>24.702430227771313</v>
      </c>
      <c r="AD28" s="18">
        <v>98</v>
      </c>
      <c r="AE28" s="19">
        <f t="shared" si="1"/>
        <v>44.421274434392238</v>
      </c>
      <c r="AF28" s="4"/>
      <c r="AG28" s="4"/>
      <c r="AH28" s="5"/>
    </row>
    <row r="29" spans="20:34">
      <c r="T29" s="199"/>
      <c r="U29" s="17">
        <f>(((((U3+U18)/2)*U22)+(((U3+U19)/2)*U21))/2)*U4</f>
        <v>1058.0323851364774</v>
      </c>
      <c r="V29" s="4" t="s">
        <v>28</v>
      </c>
      <c r="W29" s="4"/>
      <c r="X29" s="4"/>
      <c r="Y29" s="4"/>
      <c r="Z29" s="5"/>
      <c r="AA29" s="4"/>
      <c r="AB29" s="11">
        <v>48</v>
      </c>
      <c r="AC29" s="9">
        <f t="shared" si="0"/>
        <v>25.641005824305282</v>
      </c>
      <c r="AD29" s="20">
        <v>100</v>
      </c>
      <c r="AE29" s="21">
        <f t="shared" si="1"/>
        <v>45</v>
      </c>
      <c r="AF29" s="4"/>
      <c r="AG29" s="4"/>
      <c r="AH29" s="5"/>
    </row>
    <row r="30" spans="20:34">
      <c r="T30" s="199"/>
      <c r="U30" s="17">
        <f>1/2*((U19+U3)/2)*U21*U15</f>
        <v>1087.3275990575421</v>
      </c>
      <c r="V30" s="4" t="s">
        <v>29</v>
      </c>
      <c r="W30" s="4"/>
      <c r="X30" s="4"/>
      <c r="Y30" s="4"/>
      <c r="Z30" s="5"/>
      <c r="AA30" s="4"/>
      <c r="AB30" s="22">
        <v>50</v>
      </c>
      <c r="AC30" s="23">
        <f t="shared" si="0"/>
        <v>26.56505117707799</v>
      </c>
      <c r="AD30" s="18">
        <v>102</v>
      </c>
      <c r="AE30" s="19">
        <f t="shared" si="1"/>
        <v>45.567266409857936</v>
      </c>
      <c r="AF30" s="4"/>
      <c r="AG30" s="4"/>
      <c r="AH30" s="5"/>
    </row>
    <row r="31" spans="20:34">
      <c r="T31" s="199"/>
      <c r="U31" s="17"/>
      <c r="V31" s="4"/>
      <c r="W31" s="4"/>
      <c r="X31" s="4"/>
      <c r="Y31" s="4"/>
      <c r="Z31" s="5"/>
      <c r="AA31" s="4"/>
      <c r="AB31" s="4"/>
      <c r="AC31" s="4"/>
      <c r="AD31" s="4"/>
      <c r="AE31" s="4"/>
      <c r="AF31" s="4"/>
      <c r="AG31" s="4"/>
      <c r="AH31" s="5"/>
    </row>
    <row r="32" spans="20:34">
      <c r="T32" s="199"/>
      <c r="U32" s="24">
        <f>SUM(U28:U30)</f>
        <v>2150.8674445265265</v>
      </c>
      <c r="V32" s="25" t="s">
        <v>30</v>
      </c>
      <c r="W32" s="25"/>
      <c r="X32" s="4"/>
      <c r="Y32" s="4"/>
      <c r="Z32" s="5"/>
      <c r="AA32" s="4"/>
      <c r="AB32" s="4"/>
      <c r="AC32" s="4"/>
      <c r="AD32" s="4"/>
      <c r="AE32" s="4"/>
      <c r="AF32" s="4"/>
      <c r="AG32" s="4"/>
      <c r="AH32" s="5"/>
    </row>
    <row r="33" spans="20:34" ht="13.8" thickBot="1">
      <c r="T33" s="201"/>
      <c r="U33" s="26">
        <f>U32/27</f>
        <v>79.661757204686168</v>
      </c>
      <c r="V33" s="27" t="s">
        <v>31</v>
      </c>
      <c r="W33" s="27"/>
      <c r="X33" s="28"/>
      <c r="Y33" s="28"/>
      <c r="Z33" s="29"/>
      <c r="AA33" s="28"/>
      <c r="AB33" s="28"/>
      <c r="AC33" s="28"/>
      <c r="AD33" s="28"/>
      <c r="AE33" s="28"/>
      <c r="AF33" s="28"/>
      <c r="AG33" s="28"/>
      <c r="AH33" s="29"/>
    </row>
    <row r="34" spans="20:34"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0:34">
      <c r="T35" s="6" t="s">
        <v>32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</sheetData>
  <sheetProtection algorithmName="SHA-512" hashValue="+cfo+uYDCsNOIX5hlB8sRMBepHgkfWGnktdmccjZUklbM9Cdpd2mOcDpsO6Nx0WYNJgajZ6VEUOB8lqbTSI+bg==" saltValue="G32kBayWHHuzJRDIbOXUCQ==" spinCount="100000" sheet="1" objects="1" scenarios="1" selectLockedCells="1"/>
  <mergeCells count="4">
    <mergeCell ref="T1:AH2"/>
    <mergeCell ref="T3:T9"/>
    <mergeCell ref="AB3:AE3"/>
    <mergeCell ref="T12:T33"/>
  </mergeCells>
  <pageMargins left="0.75" right="0.75" top="1" bottom="1" header="0.5" footer="0.5"/>
  <pageSetup scale="93" orientation="landscape" r:id="rId1"/>
  <headerFooter alignWithMargins="0"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2"/>
  <sheetViews>
    <sheetView tabSelected="1" zoomScale="86" zoomScaleNormal="86" workbookViewId="0">
      <selection activeCell="F22" sqref="F22"/>
    </sheetView>
  </sheetViews>
  <sheetFormatPr defaultRowHeight="13.2"/>
  <cols>
    <col min="1" max="1" width="4.5546875" customWidth="1"/>
    <col min="2" max="2" width="14.44140625" customWidth="1"/>
    <col min="3" max="3" width="10.5546875" customWidth="1"/>
    <col min="4" max="4" width="10.6640625" customWidth="1"/>
    <col min="5" max="5" width="10.5546875" customWidth="1"/>
    <col min="6" max="6" width="10.44140625" customWidth="1"/>
    <col min="7" max="7" width="13.6640625" bestFit="1" customWidth="1"/>
    <col min="8" max="8" width="10.109375" bestFit="1" customWidth="1"/>
    <col min="9" max="9" width="8.5546875" customWidth="1"/>
    <col min="10" max="12" width="8.6640625" customWidth="1"/>
    <col min="13" max="13" width="11" customWidth="1"/>
    <col min="15" max="15" width="24.33203125" customWidth="1"/>
    <col min="257" max="257" width="4.5546875" customWidth="1"/>
    <col min="258" max="258" width="14.44140625" customWidth="1"/>
    <col min="259" max="259" width="10.5546875" customWidth="1"/>
    <col min="260" max="260" width="10.6640625" customWidth="1"/>
    <col min="261" max="261" width="10.5546875" customWidth="1"/>
    <col min="262" max="262" width="10.44140625" customWidth="1"/>
    <col min="263" max="263" width="13.6640625" bestFit="1" customWidth="1"/>
    <col min="264" max="264" width="10.109375" bestFit="1" customWidth="1"/>
    <col min="265" max="265" width="8.5546875" customWidth="1"/>
    <col min="266" max="268" width="8.6640625" customWidth="1"/>
    <col min="269" max="269" width="11" customWidth="1"/>
    <col min="271" max="271" width="24.33203125" customWidth="1"/>
    <col min="513" max="513" width="4.5546875" customWidth="1"/>
    <col min="514" max="514" width="14.44140625" customWidth="1"/>
    <col min="515" max="515" width="10.5546875" customWidth="1"/>
    <col min="516" max="516" width="10.6640625" customWidth="1"/>
    <col min="517" max="517" width="10.5546875" customWidth="1"/>
    <col min="518" max="518" width="10.44140625" customWidth="1"/>
    <col min="519" max="519" width="13.6640625" bestFit="1" customWidth="1"/>
    <col min="520" max="520" width="10.109375" bestFit="1" customWidth="1"/>
    <col min="521" max="521" width="8.5546875" customWidth="1"/>
    <col min="522" max="524" width="8.6640625" customWidth="1"/>
    <col min="525" max="525" width="11" customWidth="1"/>
    <col min="527" max="527" width="24.33203125" customWidth="1"/>
    <col min="769" max="769" width="4.5546875" customWidth="1"/>
    <col min="770" max="770" width="14.44140625" customWidth="1"/>
    <col min="771" max="771" width="10.5546875" customWidth="1"/>
    <col min="772" max="772" width="10.6640625" customWidth="1"/>
    <col min="773" max="773" width="10.5546875" customWidth="1"/>
    <col min="774" max="774" width="10.44140625" customWidth="1"/>
    <col min="775" max="775" width="13.6640625" bestFit="1" customWidth="1"/>
    <col min="776" max="776" width="10.109375" bestFit="1" customWidth="1"/>
    <col min="777" max="777" width="8.5546875" customWidth="1"/>
    <col min="778" max="780" width="8.6640625" customWidth="1"/>
    <col min="781" max="781" width="11" customWidth="1"/>
    <col min="783" max="783" width="24.33203125" customWidth="1"/>
    <col min="1025" max="1025" width="4.5546875" customWidth="1"/>
    <col min="1026" max="1026" width="14.44140625" customWidth="1"/>
    <col min="1027" max="1027" width="10.5546875" customWidth="1"/>
    <col min="1028" max="1028" width="10.6640625" customWidth="1"/>
    <col min="1029" max="1029" width="10.5546875" customWidth="1"/>
    <col min="1030" max="1030" width="10.44140625" customWidth="1"/>
    <col min="1031" max="1031" width="13.6640625" bestFit="1" customWidth="1"/>
    <col min="1032" max="1032" width="10.109375" bestFit="1" customWidth="1"/>
    <col min="1033" max="1033" width="8.5546875" customWidth="1"/>
    <col min="1034" max="1036" width="8.6640625" customWidth="1"/>
    <col min="1037" max="1037" width="11" customWidth="1"/>
    <col min="1039" max="1039" width="24.33203125" customWidth="1"/>
    <col min="1281" max="1281" width="4.5546875" customWidth="1"/>
    <col min="1282" max="1282" width="14.44140625" customWidth="1"/>
    <col min="1283" max="1283" width="10.5546875" customWidth="1"/>
    <col min="1284" max="1284" width="10.6640625" customWidth="1"/>
    <col min="1285" max="1285" width="10.5546875" customWidth="1"/>
    <col min="1286" max="1286" width="10.44140625" customWidth="1"/>
    <col min="1287" max="1287" width="13.6640625" bestFit="1" customWidth="1"/>
    <col min="1288" max="1288" width="10.109375" bestFit="1" customWidth="1"/>
    <col min="1289" max="1289" width="8.5546875" customWidth="1"/>
    <col min="1290" max="1292" width="8.6640625" customWidth="1"/>
    <col min="1293" max="1293" width="11" customWidth="1"/>
    <col min="1295" max="1295" width="24.33203125" customWidth="1"/>
    <col min="1537" max="1537" width="4.5546875" customWidth="1"/>
    <col min="1538" max="1538" width="14.44140625" customWidth="1"/>
    <col min="1539" max="1539" width="10.5546875" customWidth="1"/>
    <col min="1540" max="1540" width="10.6640625" customWidth="1"/>
    <col min="1541" max="1541" width="10.5546875" customWidth="1"/>
    <col min="1542" max="1542" width="10.44140625" customWidth="1"/>
    <col min="1543" max="1543" width="13.6640625" bestFit="1" customWidth="1"/>
    <col min="1544" max="1544" width="10.109375" bestFit="1" customWidth="1"/>
    <col min="1545" max="1545" width="8.5546875" customWidth="1"/>
    <col min="1546" max="1548" width="8.6640625" customWidth="1"/>
    <col min="1549" max="1549" width="11" customWidth="1"/>
    <col min="1551" max="1551" width="24.33203125" customWidth="1"/>
    <col min="1793" max="1793" width="4.5546875" customWidth="1"/>
    <col min="1794" max="1794" width="14.44140625" customWidth="1"/>
    <col min="1795" max="1795" width="10.5546875" customWidth="1"/>
    <col min="1796" max="1796" width="10.6640625" customWidth="1"/>
    <col min="1797" max="1797" width="10.5546875" customWidth="1"/>
    <col min="1798" max="1798" width="10.44140625" customWidth="1"/>
    <col min="1799" max="1799" width="13.6640625" bestFit="1" customWidth="1"/>
    <col min="1800" max="1800" width="10.109375" bestFit="1" customWidth="1"/>
    <col min="1801" max="1801" width="8.5546875" customWidth="1"/>
    <col min="1802" max="1804" width="8.6640625" customWidth="1"/>
    <col min="1805" max="1805" width="11" customWidth="1"/>
    <col min="1807" max="1807" width="24.33203125" customWidth="1"/>
    <col min="2049" max="2049" width="4.5546875" customWidth="1"/>
    <col min="2050" max="2050" width="14.44140625" customWidth="1"/>
    <col min="2051" max="2051" width="10.5546875" customWidth="1"/>
    <col min="2052" max="2052" width="10.6640625" customWidth="1"/>
    <col min="2053" max="2053" width="10.5546875" customWidth="1"/>
    <col min="2054" max="2054" width="10.44140625" customWidth="1"/>
    <col min="2055" max="2055" width="13.6640625" bestFit="1" customWidth="1"/>
    <col min="2056" max="2056" width="10.109375" bestFit="1" customWidth="1"/>
    <col min="2057" max="2057" width="8.5546875" customWidth="1"/>
    <col min="2058" max="2060" width="8.6640625" customWidth="1"/>
    <col min="2061" max="2061" width="11" customWidth="1"/>
    <col min="2063" max="2063" width="24.33203125" customWidth="1"/>
    <col min="2305" max="2305" width="4.5546875" customWidth="1"/>
    <col min="2306" max="2306" width="14.44140625" customWidth="1"/>
    <col min="2307" max="2307" width="10.5546875" customWidth="1"/>
    <col min="2308" max="2308" width="10.6640625" customWidth="1"/>
    <col min="2309" max="2309" width="10.5546875" customWidth="1"/>
    <col min="2310" max="2310" width="10.44140625" customWidth="1"/>
    <col min="2311" max="2311" width="13.6640625" bestFit="1" customWidth="1"/>
    <col min="2312" max="2312" width="10.109375" bestFit="1" customWidth="1"/>
    <col min="2313" max="2313" width="8.5546875" customWidth="1"/>
    <col min="2314" max="2316" width="8.6640625" customWidth="1"/>
    <col min="2317" max="2317" width="11" customWidth="1"/>
    <col min="2319" max="2319" width="24.33203125" customWidth="1"/>
    <col min="2561" max="2561" width="4.5546875" customWidth="1"/>
    <col min="2562" max="2562" width="14.44140625" customWidth="1"/>
    <col min="2563" max="2563" width="10.5546875" customWidth="1"/>
    <col min="2564" max="2564" width="10.6640625" customWidth="1"/>
    <col min="2565" max="2565" width="10.5546875" customWidth="1"/>
    <col min="2566" max="2566" width="10.44140625" customWidth="1"/>
    <col min="2567" max="2567" width="13.6640625" bestFit="1" customWidth="1"/>
    <col min="2568" max="2568" width="10.109375" bestFit="1" customWidth="1"/>
    <col min="2569" max="2569" width="8.5546875" customWidth="1"/>
    <col min="2570" max="2572" width="8.6640625" customWidth="1"/>
    <col min="2573" max="2573" width="11" customWidth="1"/>
    <col min="2575" max="2575" width="24.33203125" customWidth="1"/>
    <col min="2817" max="2817" width="4.5546875" customWidth="1"/>
    <col min="2818" max="2818" width="14.44140625" customWidth="1"/>
    <col min="2819" max="2819" width="10.5546875" customWidth="1"/>
    <col min="2820" max="2820" width="10.6640625" customWidth="1"/>
    <col min="2821" max="2821" width="10.5546875" customWidth="1"/>
    <col min="2822" max="2822" width="10.44140625" customWidth="1"/>
    <col min="2823" max="2823" width="13.6640625" bestFit="1" customWidth="1"/>
    <col min="2824" max="2824" width="10.109375" bestFit="1" customWidth="1"/>
    <col min="2825" max="2825" width="8.5546875" customWidth="1"/>
    <col min="2826" max="2828" width="8.6640625" customWidth="1"/>
    <col min="2829" max="2829" width="11" customWidth="1"/>
    <col min="2831" max="2831" width="24.33203125" customWidth="1"/>
    <col min="3073" max="3073" width="4.5546875" customWidth="1"/>
    <col min="3074" max="3074" width="14.44140625" customWidth="1"/>
    <col min="3075" max="3075" width="10.5546875" customWidth="1"/>
    <col min="3076" max="3076" width="10.6640625" customWidth="1"/>
    <col min="3077" max="3077" width="10.5546875" customWidth="1"/>
    <col min="3078" max="3078" width="10.44140625" customWidth="1"/>
    <col min="3079" max="3079" width="13.6640625" bestFit="1" customWidth="1"/>
    <col min="3080" max="3080" width="10.109375" bestFit="1" customWidth="1"/>
    <col min="3081" max="3081" width="8.5546875" customWidth="1"/>
    <col min="3082" max="3084" width="8.6640625" customWidth="1"/>
    <col min="3085" max="3085" width="11" customWidth="1"/>
    <col min="3087" max="3087" width="24.33203125" customWidth="1"/>
    <col min="3329" max="3329" width="4.5546875" customWidth="1"/>
    <col min="3330" max="3330" width="14.44140625" customWidth="1"/>
    <col min="3331" max="3331" width="10.5546875" customWidth="1"/>
    <col min="3332" max="3332" width="10.6640625" customWidth="1"/>
    <col min="3333" max="3333" width="10.5546875" customWidth="1"/>
    <col min="3334" max="3334" width="10.44140625" customWidth="1"/>
    <col min="3335" max="3335" width="13.6640625" bestFit="1" customWidth="1"/>
    <col min="3336" max="3336" width="10.109375" bestFit="1" customWidth="1"/>
    <col min="3337" max="3337" width="8.5546875" customWidth="1"/>
    <col min="3338" max="3340" width="8.6640625" customWidth="1"/>
    <col min="3341" max="3341" width="11" customWidth="1"/>
    <col min="3343" max="3343" width="24.33203125" customWidth="1"/>
    <col min="3585" max="3585" width="4.5546875" customWidth="1"/>
    <col min="3586" max="3586" width="14.44140625" customWidth="1"/>
    <col min="3587" max="3587" width="10.5546875" customWidth="1"/>
    <col min="3588" max="3588" width="10.6640625" customWidth="1"/>
    <col min="3589" max="3589" width="10.5546875" customWidth="1"/>
    <col min="3590" max="3590" width="10.44140625" customWidth="1"/>
    <col min="3591" max="3591" width="13.6640625" bestFit="1" customWidth="1"/>
    <col min="3592" max="3592" width="10.109375" bestFit="1" customWidth="1"/>
    <col min="3593" max="3593" width="8.5546875" customWidth="1"/>
    <col min="3594" max="3596" width="8.6640625" customWidth="1"/>
    <col min="3597" max="3597" width="11" customWidth="1"/>
    <col min="3599" max="3599" width="24.33203125" customWidth="1"/>
    <col min="3841" max="3841" width="4.5546875" customWidth="1"/>
    <col min="3842" max="3842" width="14.44140625" customWidth="1"/>
    <col min="3843" max="3843" width="10.5546875" customWidth="1"/>
    <col min="3844" max="3844" width="10.6640625" customWidth="1"/>
    <col min="3845" max="3845" width="10.5546875" customWidth="1"/>
    <col min="3846" max="3846" width="10.44140625" customWidth="1"/>
    <col min="3847" max="3847" width="13.6640625" bestFit="1" customWidth="1"/>
    <col min="3848" max="3848" width="10.109375" bestFit="1" customWidth="1"/>
    <col min="3849" max="3849" width="8.5546875" customWidth="1"/>
    <col min="3850" max="3852" width="8.6640625" customWidth="1"/>
    <col min="3853" max="3853" width="11" customWidth="1"/>
    <col min="3855" max="3855" width="24.33203125" customWidth="1"/>
    <col min="4097" max="4097" width="4.5546875" customWidth="1"/>
    <col min="4098" max="4098" width="14.44140625" customWidth="1"/>
    <col min="4099" max="4099" width="10.5546875" customWidth="1"/>
    <col min="4100" max="4100" width="10.6640625" customWidth="1"/>
    <col min="4101" max="4101" width="10.5546875" customWidth="1"/>
    <col min="4102" max="4102" width="10.44140625" customWidth="1"/>
    <col min="4103" max="4103" width="13.6640625" bestFit="1" customWidth="1"/>
    <col min="4104" max="4104" width="10.109375" bestFit="1" customWidth="1"/>
    <col min="4105" max="4105" width="8.5546875" customWidth="1"/>
    <col min="4106" max="4108" width="8.6640625" customWidth="1"/>
    <col min="4109" max="4109" width="11" customWidth="1"/>
    <col min="4111" max="4111" width="24.33203125" customWidth="1"/>
    <col min="4353" max="4353" width="4.5546875" customWidth="1"/>
    <col min="4354" max="4354" width="14.44140625" customWidth="1"/>
    <col min="4355" max="4355" width="10.5546875" customWidth="1"/>
    <col min="4356" max="4356" width="10.6640625" customWidth="1"/>
    <col min="4357" max="4357" width="10.5546875" customWidth="1"/>
    <col min="4358" max="4358" width="10.44140625" customWidth="1"/>
    <col min="4359" max="4359" width="13.6640625" bestFit="1" customWidth="1"/>
    <col min="4360" max="4360" width="10.109375" bestFit="1" customWidth="1"/>
    <col min="4361" max="4361" width="8.5546875" customWidth="1"/>
    <col min="4362" max="4364" width="8.6640625" customWidth="1"/>
    <col min="4365" max="4365" width="11" customWidth="1"/>
    <col min="4367" max="4367" width="24.33203125" customWidth="1"/>
    <col min="4609" max="4609" width="4.5546875" customWidth="1"/>
    <col min="4610" max="4610" width="14.44140625" customWidth="1"/>
    <col min="4611" max="4611" width="10.5546875" customWidth="1"/>
    <col min="4612" max="4612" width="10.6640625" customWidth="1"/>
    <col min="4613" max="4613" width="10.5546875" customWidth="1"/>
    <col min="4614" max="4614" width="10.44140625" customWidth="1"/>
    <col min="4615" max="4615" width="13.6640625" bestFit="1" customWidth="1"/>
    <col min="4616" max="4616" width="10.109375" bestFit="1" customWidth="1"/>
    <col min="4617" max="4617" width="8.5546875" customWidth="1"/>
    <col min="4618" max="4620" width="8.6640625" customWidth="1"/>
    <col min="4621" max="4621" width="11" customWidth="1"/>
    <col min="4623" max="4623" width="24.33203125" customWidth="1"/>
    <col min="4865" max="4865" width="4.5546875" customWidth="1"/>
    <col min="4866" max="4866" width="14.44140625" customWidth="1"/>
    <col min="4867" max="4867" width="10.5546875" customWidth="1"/>
    <col min="4868" max="4868" width="10.6640625" customWidth="1"/>
    <col min="4869" max="4869" width="10.5546875" customWidth="1"/>
    <col min="4870" max="4870" width="10.44140625" customWidth="1"/>
    <col min="4871" max="4871" width="13.6640625" bestFit="1" customWidth="1"/>
    <col min="4872" max="4872" width="10.109375" bestFit="1" customWidth="1"/>
    <col min="4873" max="4873" width="8.5546875" customWidth="1"/>
    <col min="4874" max="4876" width="8.6640625" customWidth="1"/>
    <col min="4877" max="4877" width="11" customWidth="1"/>
    <col min="4879" max="4879" width="24.33203125" customWidth="1"/>
    <col min="5121" max="5121" width="4.5546875" customWidth="1"/>
    <col min="5122" max="5122" width="14.44140625" customWidth="1"/>
    <col min="5123" max="5123" width="10.5546875" customWidth="1"/>
    <col min="5124" max="5124" width="10.6640625" customWidth="1"/>
    <col min="5125" max="5125" width="10.5546875" customWidth="1"/>
    <col min="5126" max="5126" width="10.44140625" customWidth="1"/>
    <col min="5127" max="5127" width="13.6640625" bestFit="1" customWidth="1"/>
    <col min="5128" max="5128" width="10.109375" bestFit="1" customWidth="1"/>
    <col min="5129" max="5129" width="8.5546875" customWidth="1"/>
    <col min="5130" max="5132" width="8.6640625" customWidth="1"/>
    <col min="5133" max="5133" width="11" customWidth="1"/>
    <col min="5135" max="5135" width="24.33203125" customWidth="1"/>
    <col min="5377" max="5377" width="4.5546875" customWidth="1"/>
    <col min="5378" max="5378" width="14.44140625" customWidth="1"/>
    <col min="5379" max="5379" width="10.5546875" customWidth="1"/>
    <col min="5380" max="5380" width="10.6640625" customWidth="1"/>
    <col min="5381" max="5381" width="10.5546875" customWidth="1"/>
    <col min="5382" max="5382" width="10.44140625" customWidth="1"/>
    <col min="5383" max="5383" width="13.6640625" bestFit="1" customWidth="1"/>
    <col min="5384" max="5384" width="10.109375" bestFit="1" customWidth="1"/>
    <col min="5385" max="5385" width="8.5546875" customWidth="1"/>
    <col min="5386" max="5388" width="8.6640625" customWidth="1"/>
    <col min="5389" max="5389" width="11" customWidth="1"/>
    <col min="5391" max="5391" width="24.33203125" customWidth="1"/>
    <col min="5633" max="5633" width="4.5546875" customWidth="1"/>
    <col min="5634" max="5634" width="14.44140625" customWidth="1"/>
    <col min="5635" max="5635" width="10.5546875" customWidth="1"/>
    <col min="5636" max="5636" width="10.6640625" customWidth="1"/>
    <col min="5637" max="5637" width="10.5546875" customWidth="1"/>
    <col min="5638" max="5638" width="10.44140625" customWidth="1"/>
    <col min="5639" max="5639" width="13.6640625" bestFit="1" customWidth="1"/>
    <col min="5640" max="5640" width="10.109375" bestFit="1" customWidth="1"/>
    <col min="5641" max="5641" width="8.5546875" customWidth="1"/>
    <col min="5642" max="5644" width="8.6640625" customWidth="1"/>
    <col min="5645" max="5645" width="11" customWidth="1"/>
    <col min="5647" max="5647" width="24.33203125" customWidth="1"/>
    <col min="5889" max="5889" width="4.5546875" customWidth="1"/>
    <col min="5890" max="5890" width="14.44140625" customWidth="1"/>
    <col min="5891" max="5891" width="10.5546875" customWidth="1"/>
    <col min="5892" max="5892" width="10.6640625" customWidth="1"/>
    <col min="5893" max="5893" width="10.5546875" customWidth="1"/>
    <col min="5894" max="5894" width="10.44140625" customWidth="1"/>
    <col min="5895" max="5895" width="13.6640625" bestFit="1" customWidth="1"/>
    <col min="5896" max="5896" width="10.109375" bestFit="1" customWidth="1"/>
    <col min="5897" max="5897" width="8.5546875" customWidth="1"/>
    <col min="5898" max="5900" width="8.6640625" customWidth="1"/>
    <col min="5901" max="5901" width="11" customWidth="1"/>
    <col min="5903" max="5903" width="24.33203125" customWidth="1"/>
    <col min="6145" max="6145" width="4.5546875" customWidth="1"/>
    <col min="6146" max="6146" width="14.44140625" customWidth="1"/>
    <col min="6147" max="6147" width="10.5546875" customWidth="1"/>
    <col min="6148" max="6148" width="10.6640625" customWidth="1"/>
    <col min="6149" max="6149" width="10.5546875" customWidth="1"/>
    <col min="6150" max="6150" width="10.44140625" customWidth="1"/>
    <col min="6151" max="6151" width="13.6640625" bestFit="1" customWidth="1"/>
    <col min="6152" max="6152" width="10.109375" bestFit="1" customWidth="1"/>
    <col min="6153" max="6153" width="8.5546875" customWidth="1"/>
    <col min="6154" max="6156" width="8.6640625" customWidth="1"/>
    <col min="6157" max="6157" width="11" customWidth="1"/>
    <col min="6159" max="6159" width="24.33203125" customWidth="1"/>
    <col min="6401" max="6401" width="4.5546875" customWidth="1"/>
    <col min="6402" max="6402" width="14.44140625" customWidth="1"/>
    <col min="6403" max="6403" width="10.5546875" customWidth="1"/>
    <col min="6404" max="6404" width="10.6640625" customWidth="1"/>
    <col min="6405" max="6405" width="10.5546875" customWidth="1"/>
    <col min="6406" max="6406" width="10.44140625" customWidth="1"/>
    <col min="6407" max="6407" width="13.6640625" bestFit="1" customWidth="1"/>
    <col min="6408" max="6408" width="10.109375" bestFit="1" customWidth="1"/>
    <col min="6409" max="6409" width="8.5546875" customWidth="1"/>
    <col min="6410" max="6412" width="8.6640625" customWidth="1"/>
    <col min="6413" max="6413" width="11" customWidth="1"/>
    <col min="6415" max="6415" width="24.33203125" customWidth="1"/>
    <col min="6657" max="6657" width="4.5546875" customWidth="1"/>
    <col min="6658" max="6658" width="14.44140625" customWidth="1"/>
    <col min="6659" max="6659" width="10.5546875" customWidth="1"/>
    <col min="6660" max="6660" width="10.6640625" customWidth="1"/>
    <col min="6661" max="6661" width="10.5546875" customWidth="1"/>
    <col min="6662" max="6662" width="10.44140625" customWidth="1"/>
    <col min="6663" max="6663" width="13.6640625" bestFit="1" customWidth="1"/>
    <col min="6664" max="6664" width="10.109375" bestFit="1" customWidth="1"/>
    <col min="6665" max="6665" width="8.5546875" customWidth="1"/>
    <col min="6666" max="6668" width="8.6640625" customWidth="1"/>
    <col min="6669" max="6669" width="11" customWidth="1"/>
    <col min="6671" max="6671" width="24.33203125" customWidth="1"/>
    <col min="6913" max="6913" width="4.5546875" customWidth="1"/>
    <col min="6914" max="6914" width="14.44140625" customWidth="1"/>
    <col min="6915" max="6915" width="10.5546875" customWidth="1"/>
    <col min="6916" max="6916" width="10.6640625" customWidth="1"/>
    <col min="6917" max="6917" width="10.5546875" customWidth="1"/>
    <col min="6918" max="6918" width="10.44140625" customWidth="1"/>
    <col min="6919" max="6919" width="13.6640625" bestFit="1" customWidth="1"/>
    <col min="6920" max="6920" width="10.109375" bestFit="1" customWidth="1"/>
    <col min="6921" max="6921" width="8.5546875" customWidth="1"/>
    <col min="6922" max="6924" width="8.6640625" customWidth="1"/>
    <col min="6925" max="6925" width="11" customWidth="1"/>
    <col min="6927" max="6927" width="24.33203125" customWidth="1"/>
    <col min="7169" max="7169" width="4.5546875" customWidth="1"/>
    <col min="7170" max="7170" width="14.44140625" customWidth="1"/>
    <col min="7171" max="7171" width="10.5546875" customWidth="1"/>
    <col min="7172" max="7172" width="10.6640625" customWidth="1"/>
    <col min="7173" max="7173" width="10.5546875" customWidth="1"/>
    <col min="7174" max="7174" width="10.44140625" customWidth="1"/>
    <col min="7175" max="7175" width="13.6640625" bestFit="1" customWidth="1"/>
    <col min="7176" max="7176" width="10.109375" bestFit="1" customWidth="1"/>
    <col min="7177" max="7177" width="8.5546875" customWidth="1"/>
    <col min="7178" max="7180" width="8.6640625" customWidth="1"/>
    <col min="7181" max="7181" width="11" customWidth="1"/>
    <col min="7183" max="7183" width="24.33203125" customWidth="1"/>
    <col min="7425" max="7425" width="4.5546875" customWidth="1"/>
    <col min="7426" max="7426" width="14.44140625" customWidth="1"/>
    <col min="7427" max="7427" width="10.5546875" customWidth="1"/>
    <col min="7428" max="7428" width="10.6640625" customWidth="1"/>
    <col min="7429" max="7429" width="10.5546875" customWidth="1"/>
    <col min="7430" max="7430" width="10.44140625" customWidth="1"/>
    <col min="7431" max="7431" width="13.6640625" bestFit="1" customWidth="1"/>
    <col min="7432" max="7432" width="10.109375" bestFit="1" customWidth="1"/>
    <col min="7433" max="7433" width="8.5546875" customWidth="1"/>
    <col min="7434" max="7436" width="8.6640625" customWidth="1"/>
    <col min="7437" max="7437" width="11" customWidth="1"/>
    <col min="7439" max="7439" width="24.33203125" customWidth="1"/>
    <col min="7681" max="7681" width="4.5546875" customWidth="1"/>
    <col min="7682" max="7682" width="14.44140625" customWidth="1"/>
    <col min="7683" max="7683" width="10.5546875" customWidth="1"/>
    <col min="7684" max="7684" width="10.6640625" customWidth="1"/>
    <col min="7685" max="7685" width="10.5546875" customWidth="1"/>
    <col min="7686" max="7686" width="10.44140625" customWidth="1"/>
    <col min="7687" max="7687" width="13.6640625" bestFit="1" customWidth="1"/>
    <col min="7688" max="7688" width="10.109375" bestFit="1" customWidth="1"/>
    <col min="7689" max="7689" width="8.5546875" customWidth="1"/>
    <col min="7690" max="7692" width="8.6640625" customWidth="1"/>
    <col min="7693" max="7693" width="11" customWidth="1"/>
    <col min="7695" max="7695" width="24.33203125" customWidth="1"/>
    <col min="7937" max="7937" width="4.5546875" customWidth="1"/>
    <col min="7938" max="7938" width="14.44140625" customWidth="1"/>
    <col min="7939" max="7939" width="10.5546875" customWidth="1"/>
    <col min="7940" max="7940" width="10.6640625" customWidth="1"/>
    <col min="7941" max="7941" width="10.5546875" customWidth="1"/>
    <col min="7942" max="7942" width="10.44140625" customWidth="1"/>
    <col min="7943" max="7943" width="13.6640625" bestFit="1" customWidth="1"/>
    <col min="7944" max="7944" width="10.109375" bestFit="1" customWidth="1"/>
    <col min="7945" max="7945" width="8.5546875" customWidth="1"/>
    <col min="7946" max="7948" width="8.6640625" customWidth="1"/>
    <col min="7949" max="7949" width="11" customWidth="1"/>
    <col min="7951" max="7951" width="24.33203125" customWidth="1"/>
    <col min="8193" max="8193" width="4.5546875" customWidth="1"/>
    <col min="8194" max="8194" width="14.44140625" customWidth="1"/>
    <col min="8195" max="8195" width="10.5546875" customWidth="1"/>
    <col min="8196" max="8196" width="10.6640625" customWidth="1"/>
    <col min="8197" max="8197" width="10.5546875" customWidth="1"/>
    <col min="8198" max="8198" width="10.44140625" customWidth="1"/>
    <col min="8199" max="8199" width="13.6640625" bestFit="1" customWidth="1"/>
    <col min="8200" max="8200" width="10.109375" bestFit="1" customWidth="1"/>
    <col min="8201" max="8201" width="8.5546875" customWidth="1"/>
    <col min="8202" max="8204" width="8.6640625" customWidth="1"/>
    <col min="8205" max="8205" width="11" customWidth="1"/>
    <col min="8207" max="8207" width="24.33203125" customWidth="1"/>
    <col min="8449" max="8449" width="4.5546875" customWidth="1"/>
    <col min="8450" max="8450" width="14.44140625" customWidth="1"/>
    <col min="8451" max="8451" width="10.5546875" customWidth="1"/>
    <col min="8452" max="8452" width="10.6640625" customWidth="1"/>
    <col min="8453" max="8453" width="10.5546875" customWidth="1"/>
    <col min="8454" max="8454" width="10.44140625" customWidth="1"/>
    <col min="8455" max="8455" width="13.6640625" bestFit="1" customWidth="1"/>
    <col min="8456" max="8456" width="10.109375" bestFit="1" customWidth="1"/>
    <col min="8457" max="8457" width="8.5546875" customWidth="1"/>
    <col min="8458" max="8460" width="8.6640625" customWidth="1"/>
    <col min="8461" max="8461" width="11" customWidth="1"/>
    <col min="8463" max="8463" width="24.33203125" customWidth="1"/>
    <col min="8705" max="8705" width="4.5546875" customWidth="1"/>
    <col min="8706" max="8706" width="14.44140625" customWidth="1"/>
    <col min="8707" max="8707" width="10.5546875" customWidth="1"/>
    <col min="8708" max="8708" width="10.6640625" customWidth="1"/>
    <col min="8709" max="8709" width="10.5546875" customWidth="1"/>
    <col min="8710" max="8710" width="10.44140625" customWidth="1"/>
    <col min="8711" max="8711" width="13.6640625" bestFit="1" customWidth="1"/>
    <col min="8712" max="8712" width="10.109375" bestFit="1" customWidth="1"/>
    <col min="8713" max="8713" width="8.5546875" customWidth="1"/>
    <col min="8714" max="8716" width="8.6640625" customWidth="1"/>
    <col min="8717" max="8717" width="11" customWidth="1"/>
    <col min="8719" max="8719" width="24.33203125" customWidth="1"/>
    <col min="8961" max="8961" width="4.5546875" customWidth="1"/>
    <col min="8962" max="8962" width="14.44140625" customWidth="1"/>
    <col min="8963" max="8963" width="10.5546875" customWidth="1"/>
    <col min="8964" max="8964" width="10.6640625" customWidth="1"/>
    <col min="8965" max="8965" width="10.5546875" customWidth="1"/>
    <col min="8966" max="8966" width="10.44140625" customWidth="1"/>
    <col min="8967" max="8967" width="13.6640625" bestFit="1" customWidth="1"/>
    <col min="8968" max="8968" width="10.109375" bestFit="1" customWidth="1"/>
    <col min="8969" max="8969" width="8.5546875" customWidth="1"/>
    <col min="8970" max="8972" width="8.6640625" customWidth="1"/>
    <col min="8973" max="8973" width="11" customWidth="1"/>
    <col min="8975" max="8975" width="24.33203125" customWidth="1"/>
    <col min="9217" max="9217" width="4.5546875" customWidth="1"/>
    <col min="9218" max="9218" width="14.44140625" customWidth="1"/>
    <col min="9219" max="9219" width="10.5546875" customWidth="1"/>
    <col min="9220" max="9220" width="10.6640625" customWidth="1"/>
    <col min="9221" max="9221" width="10.5546875" customWidth="1"/>
    <col min="9222" max="9222" width="10.44140625" customWidth="1"/>
    <col min="9223" max="9223" width="13.6640625" bestFit="1" customWidth="1"/>
    <col min="9224" max="9224" width="10.109375" bestFit="1" customWidth="1"/>
    <col min="9225" max="9225" width="8.5546875" customWidth="1"/>
    <col min="9226" max="9228" width="8.6640625" customWidth="1"/>
    <col min="9229" max="9229" width="11" customWidth="1"/>
    <col min="9231" max="9231" width="24.33203125" customWidth="1"/>
    <col min="9473" max="9473" width="4.5546875" customWidth="1"/>
    <col min="9474" max="9474" width="14.44140625" customWidth="1"/>
    <col min="9475" max="9475" width="10.5546875" customWidth="1"/>
    <col min="9476" max="9476" width="10.6640625" customWidth="1"/>
    <col min="9477" max="9477" width="10.5546875" customWidth="1"/>
    <col min="9478" max="9478" width="10.44140625" customWidth="1"/>
    <col min="9479" max="9479" width="13.6640625" bestFit="1" customWidth="1"/>
    <col min="9480" max="9480" width="10.109375" bestFit="1" customWidth="1"/>
    <col min="9481" max="9481" width="8.5546875" customWidth="1"/>
    <col min="9482" max="9484" width="8.6640625" customWidth="1"/>
    <col min="9485" max="9485" width="11" customWidth="1"/>
    <col min="9487" max="9487" width="24.33203125" customWidth="1"/>
    <col min="9729" max="9729" width="4.5546875" customWidth="1"/>
    <col min="9730" max="9730" width="14.44140625" customWidth="1"/>
    <col min="9731" max="9731" width="10.5546875" customWidth="1"/>
    <col min="9732" max="9732" width="10.6640625" customWidth="1"/>
    <col min="9733" max="9733" width="10.5546875" customWidth="1"/>
    <col min="9734" max="9734" width="10.44140625" customWidth="1"/>
    <col min="9735" max="9735" width="13.6640625" bestFit="1" customWidth="1"/>
    <col min="9736" max="9736" width="10.109375" bestFit="1" customWidth="1"/>
    <col min="9737" max="9737" width="8.5546875" customWidth="1"/>
    <col min="9738" max="9740" width="8.6640625" customWidth="1"/>
    <col min="9741" max="9741" width="11" customWidth="1"/>
    <col min="9743" max="9743" width="24.33203125" customWidth="1"/>
    <col min="9985" max="9985" width="4.5546875" customWidth="1"/>
    <col min="9986" max="9986" width="14.44140625" customWidth="1"/>
    <col min="9987" max="9987" width="10.5546875" customWidth="1"/>
    <col min="9988" max="9988" width="10.6640625" customWidth="1"/>
    <col min="9989" max="9989" width="10.5546875" customWidth="1"/>
    <col min="9990" max="9990" width="10.44140625" customWidth="1"/>
    <col min="9991" max="9991" width="13.6640625" bestFit="1" customWidth="1"/>
    <col min="9992" max="9992" width="10.109375" bestFit="1" customWidth="1"/>
    <col min="9993" max="9993" width="8.5546875" customWidth="1"/>
    <col min="9994" max="9996" width="8.6640625" customWidth="1"/>
    <col min="9997" max="9997" width="11" customWidth="1"/>
    <col min="9999" max="9999" width="24.33203125" customWidth="1"/>
    <col min="10241" max="10241" width="4.5546875" customWidth="1"/>
    <col min="10242" max="10242" width="14.44140625" customWidth="1"/>
    <col min="10243" max="10243" width="10.5546875" customWidth="1"/>
    <col min="10244" max="10244" width="10.6640625" customWidth="1"/>
    <col min="10245" max="10245" width="10.5546875" customWidth="1"/>
    <col min="10246" max="10246" width="10.44140625" customWidth="1"/>
    <col min="10247" max="10247" width="13.6640625" bestFit="1" customWidth="1"/>
    <col min="10248" max="10248" width="10.109375" bestFit="1" customWidth="1"/>
    <col min="10249" max="10249" width="8.5546875" customWidth="1"/>
    <col min="10250" max="10252" width="8.6640625" customWidth="1"/>
    <col min="10253" max="10253" width="11" customWidth="1"/>
    <col min="10255" max="10255" width="24.33203125" customWidth="1"/>
    <col min="10497" max="10497" width="4.5546875" customWidth="1"/>
    <col min="10498" max="10498" width="14.44140625" customWidth="1"/>
    <col min="10499" max="10499" width="10.5546875" customWidth="1"/>
    <col min="10500" max="10500" width="10.6640625" customWidth="1"/>
    <col min="10501" max="10501" width="10.5546875" customWidth="1"/>
    <col min="10502" max="10502" width="10.44140625" customWidth="1"/>
    <col min="10503" max="10503" width="13.6640625" bestFit="1" customWidth="1"/>
    <col min="10504" max="10504" width="10.109375" bestFit="1" customWidth="1"/>
    <col min="10505" max="10505" width="8.5546875" customWidth="1"/>
    <col min="10506" max="10508" width="8.6640625" customWidth="1"/>
    <col min="10509" max="10509" width="11" customWidth="1"/>
    <col min="10511" max="10511" width="24.33203125" customWidth="1"/>
    <col min="10753" max="10753" width="4.5546875" customWidth="1"/>
    <col min="10754" max="10754" width="14.44140625" customWidth="1"/>
    <col min="10755" max="10755" width="10.5546875" customWidth="1"/>
    <col min="10756" max="10756" width="10.6640625" customWidth="1"/>
    <col min="10757" max="10757" width="10.5546875" customWidth="1"/>
    <col min="10758" max="10758" width="10.44140625" customWidth="1"/>
    <col min="10759" max="10759" width="13.6640625" bestFit="1" customWidth="1"/>
    <col min="10760" max="10760" width="10.109375" bestFit="1" customWidth="1"/>
    <col min="10761" max="10761" width="8.5546875" customWidth="1"/>
    <col min="10762" max="10764" width="8.6640625" customWidth="1"/>
    <col min="10765" max="10765" width="11" customWidth="1"/>
    <col min="10767" max="10767" width="24.33203125" customWidth="1"/>
    <col min="11009" max="11009" width="4.5546875" customWidth="1"/>
    <col min="11010" max="11010" width="14.44140625" customWidth="1"/>
    <col min="11011" max="11011" width="10.5546875" customWidth="1"/>
    <col min="11012" max="11012" width="10.6640625" customWidth="1"/>
    <col min="11013" max="11013" width="10.5546875" customWidth="1"/>
    <col min="11014" max="11014" width="10.44140625" customWidth="1"/>
    <col min="11015" max="11015" width="13.6640625" bestFit="1" customWidth="1"/>
    <col min="11016" max="11016" width="10.109375" bestFit="1" customWidth="1"/>
    <col min="11017" max="11017" width="8.5546875" customWidth="1"/>
    <col min="11018" max="11020" width="8.6640625" customWidth="1"/>
    <col min="11021" max="11021" width="11" customWidth="1"/>
    <col min="11023" max="11023" width="24.33203125" customWidth="1"/>
    <col min="11265" max="11265" width="4.5546875" customWidth="1"/>
    <col min="11266" max="11266" width="14.44140625" customWidth="1"/>
    <col min="11267" max="11267" width="10.5546875" customWidth="1"/>
    <col min="11268" max="11268" width="10.6640625" customWidth="1"/>
    <col min="11269" max="11269" width="10.5546875" customWidth="1"/>
    <col min="11270" max="11270" width="10.44140625" customWidth="1"/>
    <col min="11271" max="11271" width="13.6640625" bestFit="1" customWidth="1"/>
    <col min="11272" max="11272" width="10.109375" bestFit="1" customWidth="1"/>
    <col min="11273" max="11273" width="8.5546875" customWidth="1"/>
    <col min="11274" max="11276" width="8.6640625" customWidth="1"/>
    <col min="11277" max="11277" width="11" customWidth="1"/>
    <col min="11279" max="11279" width="24.33203125" customWidth="1"/>
    <col min="11521" max="11521" width="4.5546875" customWidth="1"/>
    <col min="11522" max="11522" width="14.44140625" customWidth="1"/>
    <col min="11523" max="11523" width="10.5546875" customWidth="1"/>
    <col min="11524" max="11524" width="10.6640625" customWidth="1"/>
    <col min="11525" max="11525" width="10.5546875" customWidth="1"/>
    <col min="11526" max="11526" width="10.44140625" customWidth="1"/>
    <col min="11527" max="11527" width="13.6640625" bestFit="1" customWidth="1"/>
    <col min="11528" max="11528" width="10.109375" bestFit="1" customWidth="1"/>
    <col min="11529" max="11529" width="8.5546875" customWidth="1"/>
    <col min="11530" max="11532" width="8.6640625" customWidth="1"/>
    <col min="11533" max="11533" width="11" customWidth="1"/>
    <col min="11535" max="11535" width="24.33203125" customWidth="1"/>
    <col min="11777" max="11777" width="4.5546875" customWidth="1"/>
    <col min="11778" max="11778" width="14.44140625" customWidth="1"/>
    <col min="11779" max="11779" width="10.5546875" customWidth="1"/>
    <col min="11780" max="11780" width="10.6640625" customWidth="1"/>
    <col min="11781" max="11781" width="10.5546875" customWidth="1"/>
    <col min="11782" max="11782" width="10.44140625" customWidth="1"/>
    <col min="11783" max="11783" width="13.6640625" bestFit="1" customWidth="1"/>
    <col min="11784" max="11784" width="10.109375" bestFit="1" customWidth="1"/>
    <col min="11785" max="11785" width="8.5546875" customWidth="1"/>
    <col min="11786" max="11788" width="8.6640625" customWidth="1"/>
    <col min="11789" max="11789" width="11" customWidth="1"/>
    <col min="11791" max="11791" width="24.33203125" customWidth="1"/>
    <col min="12033" max="12033" width="4.5546875" customWidth="1"/>
    <col min="12034" max="12034" width="14.44140625" customWidth="1"/>
    <col min="12035" max="12035" width="10.5546875" customWidth="1"/>
    <col min="12036" max="12036" width="10.6640625" customWidth="1"/>
    <col min="12037" max="12037" width="10.5546875" customWidth="1"/>
    <col min="12038" max="12038" width="10.44140625" customWidth="1"/>
    <col min="12039" max="12039" width="13.6640625" bestFit="1" customWidth="1"/>
    <col min="12040" max="12040" width="10.109375" bestFit="1" customWidth="1"/>
    <col min="12041" max="12041" width="8.5546875" customWidth="1"/>
    <col min="12042" max="12044" width="8.6640625" customWidth="1"/>
    <col min="12045" max="12045" width="11" customWidth="1"/>
    <col min="12047" max="12047" width="24.33203125" customWidth="1"/>
    <col min="12289" max="12289" width="4.5546875" customWidth="1"/>
    <col min="12290" max="12290" width="14.44140625" customWidth="1"/>
    <col min="12291" max="12291" width="10.5546875" customWidth="1"/>
    <col min="12292" max="12292" width="10.6640625" customWidth="1"/>
    <col min="12293" max="12293" width="10.5546875" customWidth="1"/>
    <col min="12294" max="12294" width="10.44140625" customWidth="1"/>
    <col min="12295" max="12295" width="13.6640625" bestFit="1" customWidth="1"/>
    <col min="12296" max="12296" width="10.109375" bestFit="1" customWidth="1"/>
    <col min="12297" max="12297" width="8.5546875" customWidth="1"/>
    <col min="12298" max="12300" width="8.6640625" customWidth="1"/>
    <col min="12301" max="12301" width="11" customWidth="1"/>
    <col min="12303" max="12303" width="24.33203125" customWidth="1"/>
    <col min="12545" max="12545" width="4.5546875" customWidth="1"/>
    <col min="12546" max="12546" width="14.44140625" customWidth="1"/>
    <col min="12547" max="12547" width="10.5546875" customWidth="1"/>
    <col min="12548" max="12548" width="10.6640625" customWidth="1"/>
    <col min="12549" max="12549" width="10.5546875" customWidth="1"/>
    <col min="12550" max="12550" width="10.44140625" customWidth="1"/>
    <col min="12551" max="12551" width="13.6640625" bestFit="1" customWidth="1"/>
    <col min="12552" max="12552" width="10.109375" bestFit="1" customWidth="1"/>
    <col min="12553" max="12553" width="8.5546875" customWidth="1"/>
    <col min="12554" max="12556" width="8.6640625" customWidth="1"/>
    <col min="12557" max="12557" width="11" customWidth="1"/>
    <col min="12559" max="12559" width="24.33203125" customWidth="1"/>
    <col min="12801" max="12801" width="4.5546875" customWidth="1"/>
    <col min="12802" max="12802" width="14.44140625" customWidth="1"/>
    <col min="12803" max="12803" width="10.5546875" customWidth="1"/>
    <col min="12804" max="12804" width="10.6640625" customWidth="1"/>
    <col min="12805" max="12805" width="10.5546875" customWidth="1"/>
    <col min="12806" max="12806" width="10.44140625" customWidth="1"/>
    <col min="12807" max="12807" width="13.6640625" bestFit="1" customWidth="1"/>
    <col min="12808" max="12808" width="10.109375" bestFit="1" customWidth="1"/>
    <col min="12809" max="12809" width="8.5546875" customWidth="1"/>
    <col min="12810" max="12812" width="8.6640625" customWidth="1"/>
    <col min="12813" max="12813" width="11" customWidth="1"/>
    <col min="12815" max="12815" width="24.33203125" customWidth="1"/>
    <col min="13057" max="13057" width="4.5546875" customWidth="1"/>
    <col min="13058" max="13058" width="14.44140625" customWidth="1"/>
    <col min="13059" max="13059" width="10.5546875" customWidth="1"/>
    <col min="13060" max="13060" width="10.6640625" customWidth="1"/>
    <col min="13061" max="13061" width="10.5546875" customWidth="1"/>
    <col min="13062" max="13062" width="10.44140625" customWidth="1"/>
    <col min="13063" max="13063" width="13.6640625" bestFit="1" customWidth="1"/>
    <col min="13064" max="13064" width="10.109375" bestFit="1" customWidth="1"/>
    <col min="13065" max="13065" width="8.5546875" customWidth="1"/>
    <col min="13066" max="13068" width="8.6640625" customWidth="1"/>
    <col min="13069" max="13069" width="11" customWidth="1"/>
    <col min="13071" max="13071" width="24.33203125" customWidth="1"/>
    <col min="13313" max="13313" width="4.5546875" customWidth="1"/>
    <col min="13314" max="13314" width="14.44140625" customWidth="1"/>
    <col min="13315" max="13315" width="10.5546875" customWidth="1"/>
    <col min="13316" max="13316" width="10.6640625" customWidth="1"/>
    <col min="13317" max="13317" width="10.5546875" customWidth="1"/>
    <col min="13318" max="13318" width="10.44140625" customWidth="1"/>
    <col min="13319" max="13319" width="13.6640625" bestFit="1" customWidth="1"/>
    <col min="13320" max="13320" width="10.109375" bestFit="1" customWidth="1"/>
    <col min="13321" max="13321" width="8.5546875" customWidth="1"/>
    <col min="13322" max="13324" width="8.6640625" customWidth="1"/>
    <col min="13325" max="13325" width="11" customWidth="1"/>
    <col min="13327" max="13327" width="24.33203125" customWidth="1"/>
    <col min="13569" max="13569" width="4.5546875" customWidth="1"/>
    <col min="13570" max="13570" width="14.44140625" customWidth="1"/>
    <col min="13571" max="13571" width="10.5546875" customWidth="1"/>
    <col min="13572" max="13572" width="10.6640625" customWidth="1"/>
    <col min="13573" max="13573" width="10.5546875" customWidth="1"/>
    <col min="13574" max="13574" width="10.44140625" customWidth="1"/>
    <col min="13575" max="13575" width="13.6640625" bestFit="1" customWidth="1"/>
    <col min="13576" max="13576" width="10.109375" bestFit="1" customWidth="1"/>
    <col min="13577" max="13577" width="8.5546875" customWidth="1"/>
    <col min="13578" max="13580" width="8.6640625" customWidth="1"/>
    <col min="13581" max="13581" width="11" customWidth="1"/>
    <col min="13583" max="13583" width="24.33203125" customWidth="1"/>
    <col min="13825" max="13825" width="4.5546875" customWidth="1"/>
    <col min="13826" max="13826" width="14.44140625" customWidth="1"/>
    <col min="13827" max="13827" width="10.5546875" customWidth="1"/>
    <col min="13828" max="13828" width="10.6640625" customWidth="1"/>
    <col min="13829" max="13829" width="10.5546875" customWidth="1"/>
    <col min="13830" max="13830" width="10.44140625" customWidth="1"/>
    <col min="13831" max="13831" width="13.6640625" bestFit="1" customWidth="1"/>
    <col min="13832" max="13832" width="10.109375" bestFit="1" customWidth="1"/>
    <col min="13833" max="13833" width="8.5546875" customWidth="1"/>
    <col min="13834" max="13836" width="8.6640625" customWidth="1"/>
    <col min="13837" max="13837" width="11" customWidth="1"/>
    <col min="13839" max="13839" width="24.33203125" customWidth="1"/>
    <col min="14081" max="14081" width="4.5546875" customWidth="1"/>
    <col min="14082" max="14082" width="14.44140625" customWidth="1"/>
    <col min="14083" max="14083" width="10.5546875" customWidth="1"/>
    <col min="14084" max="14084" width="10.6640625" customWidth="1"/>
    <col min="14085" max="14085" width="10.5546875" customWidth="1"/>
    <col min="14086" max="14086" width="10.44140625" customWidth="1"/>
    <col min="14087" max="14087" width="13.6640625" bestFit="1" customWidth="1"/>
    <col min="14088" max="14088" width="10.109375" bestFit="1" customWidth="1"/>
    <col min="14089" max="14089" width="8.5546875" customWidth="1"/>
    <col min="14090" max="14092" width="8.6640625" customWidth="1"/>
    <col min="14093" max="14093" width="11" customWidth="1"/>
    <col min="14095" max="14095" width="24.33203125" customWidth="1"/>
    <col min="14337" max="14337" width="4.5546875" customWidth="1"/>
    <col min="14338" max="14338" width="14.44140625" customWidth="1"/>
    <col min="14339" max="14339" width="10.5546875" customWidth="1"/>
    <col min="14340" max="14340" width="10.6640625" customWidth="1"/>
    <col min="14341" max="14341" width="10.5546875" customWidth="1"/>
    <col min="14342" max="14342" width="10.44140625" customWidth="1"/>
    <col min="14343" max="14343" width="13.6640625" bestFit="1" customWidth="1"/>
    <col min="14344" max="14344" width="10.109375" bestFit="1" customWidth="1"/>
    <col min="14345" max="14345" width="8.5546875" customWidth="1"/>
    <col min="14346" max="14348" width="8.6640625" customWidth="1"/>
    <col min="14349" max="14349" width="11" customWidth="1"/>
    <col min="14351" max="14351" width="24.33203125" customWidth="1"/>
    <col min="14593" max="14593" width="4.5546875" customWidth="1"/>
    <col min="14594" max="14594" width="14.44140625" customWidth="1"/>
    <col min="14595" max="14595" width="10.5546875" customWidth="1"/>
    <col min="14596" max="14596" width="10.6640625" customWidth="1"/>
    <col min="14597" max="14597" width="10.5546875" customWidth="1"/>
    <col min="14598" max="14598" width="10.44140625" customWidth="1"/>
    <col min="14599" max="14599" width="13.6640625" bestFit="1" customWidth="1"/>
    <col min="14600" max="14600" width="10.109375" bestFit="1" customWidth="1"/>
    <col min="14601" max="14601" width="8.5546875" customWidth="1"/>
    <col min="14602" max="14604" width="8.6640625" customWidth="1"/>
    <col min="14605" max="14605" width="11" customWidth="1"/>
    <col min="14607" max="14607" width="24.33203125" customWidth="1"/>
    <col min="14849" max="14849" width="4.5546875" customWidth="1"/>
    <col min="14850" max="14850" width="14.44140625" customWidth="1"/>
    <col min="14851" max="14851" width="10.5546875" customWidth="1"/>
    <col min="14852" max="14852" width="10.6640625" customWidth="1"/>
    <col min="14853" max="14853" width="10.5546875" customWidth="1"/>
    <col min="14854" max="14854" width="10.44140625" customWidth="1"/>
    <col min="14855" max="14855" width="13.6640625" bestFit="1" customWidth="1"/>
    <col min="14856" max="14856" width="10.109375" bestFit="1" customWidth="1"/>
    <col min="14857" max="14857" width="8.5546875" customWidth="1"/>
    <col min="14858" max="14860" width="8.6640625" customWidth="1"/>
    <col min="14861" max="14861" width="11" customWidth="1"/>
    <col min="14863" max="14863" width="24.33203125" customWidth="1"/>
    <col min="15105" max="15105" width="4.5546875" customWidth="1"/>
    <col min="15106" max="15106" width="14.44140625" customWidth="1"/>
    <col min="15107" max="15107" width="10.5546875" customWidth="1"/>
    <col min="15108" max="15108" width="10.6640625" customWidth="1"/>
    <col min="15109" max="15109" width="10.5546875" customWidth="1"/>
    <col min="15110" max="15110" width="10.44140625" customWidth="1"/>
    <col min="15111" max="15111" width="13.6640625" bestFit="1" customWidth="1"/>
    <col min="15112" max="15112" width="10.109375" bestFit="1" customWidth="1"/>
    <col min="15113" max="15113" width="8.5546875" customWidth="1"/>
    <col min="15114" max="15116" width="8.6640625" customWidth="1"/>
    <col min="15117" max="15117" width="11" customWidth="1"/>
    <col min="15119" max="15119" width="24.33203125" customWidth="1"/>
    <col min="15361" max="15361" width="4.5546875" customWidth="1"/>
    <col min="15362" max="15362" width="14.44140625" customWidth="1"/>
    <col min="15363" max="15363" width="10.5546875" customWidth="1"/>
    <col min="15364" max="15364" width="10.6640625" customWidth="1"/>
    <col min="15365" max="15365" width="10.5546875" customWidth="1"/>
    <col min="15366" max="15366" width="10.44140625" customWidth="1"/>
    <col min="15367" max="15367" width="13.6640625" bestFit="1" customWidth="1"/>
    <col min="15368" max="15368" width="10.109375" bestFit="1" customWidth="1"/>
    <col min="15369" max="15369" width="8.5546875" customWidth="1"/>
    <col min="15370" max="15372" width="8.6640625" customWidth="1"/>
    <col min="15373" max="15373" width="11" customWidth="1"/>
    <col min="15375" max="15375" width="24.33203125" customWidth="1"/>
    <col min="15617" max="15617" width="4.5546875" customWidth="1"/>
    <col min="15618" max="15618" width="14.44140625" customWidth="1"/>
    <col min="15619" max="15619" width="10.5546875" customWidth="1"/>
    <col min="15620" max="15620" width="10.6640625" customWidth="1"/>
    <col min="15621" max="15621" width="10.5546875" customWidth="1"/>
    <col min="15622" max="15622" width="10.44140625" customWidth="1"/>
    <col min="15623" max="15623" width="13.6640625" bestFit="1" customWidth="1"/>
    <col min="15624" max="15624" width="10.109375" bestFit="1" customWidth="1"/>
    <col min="15625" max="15625" width="8.5546875" customWidth="1"/>
    <col min="15626" max="15628" width="8.6640625" customWidth="1"/>
    <col min="15629" max="15629" width="11" customWidth="1"/>
    <col min="15631" max="15631" width="24.33203125" customWidth="1"/>
    <col min="15873" max="15873" width="4.5546875" customWidth="1"/>
    <col min="15874" max="15874" width="14.44140625" customWidth="1"/>
    <col min="15875" max="15875" width="10.5546875" customWidth="1"/>
    <col min="15876" max="15876" width="10.6640625" customWidth="1"/>
    <col min="15877" max="15877" width="10.5546875" customWidth="1"/>
    <col min="15878" max="15878" width="10.44140625" customWidth="1"/>
    <col min="15879" max="15879" width="13.6640625" bestFit="1" customWidth="1"/>
    <col min="15880" max="15880" width="10.109375" bestFit="1" customWidth="1"/>
    <col min="15881" max="15881" width="8.5546875" customWidth="1"/>
    <col min="15882" max="15884" width="8.6640625" customWidth="1"/>
    <col min="15885" max="15885" width="11" customWidth="1"/>
    <col min="15887" max="15887" width="24.33203125" customWidth="1"/>
    <col min="16129" max="16129" width="4.5546875" customWidth="1"/>
    <col min="16130" max="16130" width="14.44140625" customWidth="1"/>
    <col min="16131" max="16131" width="10.5546875" customWidth="1"/>
    <col min="16132" max="16132" width="10.6640625" customWidth="1"/>
    <col min="16133" max="16133" width="10.5546875" customWidth="1"/>
    <col min="16134" max="16134" width="10.44140625" customWidth="1"/>
    <col min="16135" max="16135" width="13.6640625" bestFit="1" customWidth="1"/>
    <col min="16136" max="16136" width="10.109375" bestFit="1" customWidth="1"/>
    <col min="16137" max="16137" width="8.5546875" customWidth="1"/>
    <col min="16138" max="16140" width="8.6640625" customWidth="1"/>
    <col min="16141" max="16141" width="11" customWidth="1"/>
    <col min="16143" max="16143" width="24.33203125" customWidth="1"/>
  </cols>
  <sheetData>
    <row r="2" spans="1:15" ht="15.6">
      <c r="A2" s="4"/>
      <c r="B2" s="66" t="s">
        <v>88</v>
      </c>
      <c r="C2" s="67" t="s">
        <v>178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3.8" thickBot="1">
      <c r="A3" s="68" t="s">
        <v>89</v>
      </c>
      <c r="B3" s="69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7.399999999999999" thickTop="1" thickBot="1">
      <c r="A4" s="70" t="s">
        <v>176</v>
      </c>
      <c r="B4" s="4"/>
      <c r="C4" s="4"/>
      <c r="D4" s="4"/>
      <c r="E4" s="4"/>
      <c r="F4" s="25"/>
      <c r="G4" s="25"/>
      <c r="H4" s="25"/>
      <c r="I4" s="160" t="s">
        <v>90</v>
      </c>
      <c r="J4" s="161"/>
      <c r="K4" s="161"/>
      <c r="L4" s="162"/>
      <c r="M4" s="4"/>
    </row>
    <row r="5" spans="1:15" s="32" customFormat="1" ht="53.25" customHeight="1" thickTop="1" thickBot="1">
      <c r="A5" s="71" t="s">
        <v>91</v>
      </c>
      <c r="B5" s="72" t="s">
        <v>92</v>
      </c>
      <c r="C5" s="73" t="s">
        <v>93</v>
      </c>
      <c r="D5" s="74" t="s">
        <v>94</v>
      </c>
      <c r="E5" s="74" t="s">
        <v>95</v>
      </c>
      <c r="F5" s="75" t="s">
        <v>96</v>
      </c>
      <c r="G5" s="74" t="s">
        <v>97</v>
      </c>
      <c r="H5" s="76" t="s">
        <v>135</v>
      </c>
      <c r="I5" s="77" t="s">
        <v>98</v>
      </c>
      <c r="J5" s="78" t="s">
        <v>99</v>
      </c>
      <c r="K5" s="78" t="s">
        <v>100</v>
      </c>
      <c r="L5" s="79" t="s">
        <v>101</v>
      </c>
      <c r="M5" s="80"/>
      <c r="O5" s="149"/>
    </row>
    <row r="6" spans="1:15" s="31" customFormat="1" ht="13.8" thickTop="1">
      <c r="A6" s="81">
        <v>1</v>
      </c>
      <c r="B6" s="82" t="s">
        <v>186</v>
      </c>
      <c r="C6" s="83">
        <v>192</v>
      </c>
      <c r="D6" s="84">
        <v>2023</v>
      </c>
      <c r="E6" s="84">
        <v>252</v>
      </c>
      <c r="F6" s="85">
        <f>C6/640</f>
        <v>0.3</v>
      </c>
      <c r="G6" s="84">
        <v>56.4</v>
      </c>
      <c r="H6" s="86">
        <f>(D6+E6)/2</f>
        <v>1137.5</v>
      </c>
      <c r="I6" s="87">
        <f>48.5*($F6^0.866)*($G6^0.556)</f>
        <v>160.93108043856404</v>
      </c>
      <c r="J6" s="88">
        <f>20.6*($F6^0.874)*($G6^1.24)*($H6^-0.25)</f>
        <v>183.8524554997316</v>
      </c>
      <c r="K6" s="88">
        <f>0.713*($F6^0.731)*G6^1.56</f>
        <v>159.53668706714976</v>
      </c>
      <c r="L6" s="89">
        <f>11*($F6^0.84)*($G6^0.994)</f>
        <v>220.26524092455654</v>
      </c>
      <c r="M6" s="90"/>
    </row>
    <row r="7" spans="1:15">
      <c r="A7" s="91">
        <v>2</v>
      </c>
      <c r="B7" s="92"/>
      <c r="C7" s="83"/>
      <c r="D7" s="84"/>
      <c r="E7" s="84"/>
      <c r="F7" s="85">
        <f t="shared" ref="F7:F15" si="0">C7/640</f>
        <v>0</v>
      </c>
      <c r="G7" s="84"/>
      <c r="H7" s="86">
        <f t="shared" ref="H7:H15" si="1">(D7+E7)/2</f>
        <v>0</v>
      </c>
      <c r="I7" s="87">
        <f t="shared" ref="I7:I15" si="2">48.5*($F7^0.866)*($G7^0.556)</f>
        <v>0</v>
      </c>
      <c r="J7" s="88" t="e">
        <f t="shared" ref="J7:J15" si="3">20.6*($F7^0.874)*($G7^1.24)*($H7^-0.25)</f>
        <v>#DIV/0!</v>
      </c>
      <c r="K7" s="88">
        <f t="shared" ref="K7:K15" si="4">0.713*($F7^0.731)*G7^1.56</f>
        <v>0</v>
      </c>
      <c r="L7" s="93">
        <f t="shared" ref="L7:L15" si="5">11*($F7^0.84)*($G7^0.994)</f>
        <v>0</v>
      </c>
      <c r="M7" s="90"/>
    </row>
    <row r="8" spans="1:15">
      <c r="A8" s="91">
        <v>3</v>
      </c>
      <c r="B8" s="92"/>
      <c r="C8" s="83"/>
      <c r="D8" s="84"/>
      <c r="E8" s="84"/>
      <c r="F8" s="94">
        <f t="shared" si="0"/>
        <v>0</v>
      </c>
      <c r="G8" s="84"/>
      <c r="H8" s="86">
        <f t="shared" si="1"/>
        <v>0</v>
      </c>
      <c r="I8" s="87">
        <f t="shared" si="2"/>
        <v>0</v>
      </c>
      <c r="J8" s="88" t="e">
        <f t="shared" si="3"/>
        <v>#DIV/0!</v>
      </c>
      <c r="K8" s="88">
        <f t="shared" si="4"/>
        <v>0</v>
      </c>
      <c r="L8" s="93">
        <f t="shared" si="5"/>
        <v>0</v>
      </c>
      <c r="M8" s="90"/>
      <c r="N8" s="31"/>
    </row>
    <row r="9" spans="1:15">
      <c r="A9" s="91">
        <v>4</v>
      </c>
      <c r="B9" s="92"/>
      <c r="C9" s="83"/>
      <c r="D9" s="84"/>
      <c r="E9" s="84"/>
      <c r="F9" s="94">
        <f t="shared" si="0"/>
        <v>0</v>
      </c>
      <c r="G9" s="84"/>
      <c r="H9" s="86">
        <f t="shared" si="1"/>
        <v>0</v>
      </c>
      <c r="I9" s="87">
        <f t="shared" si="2"/>
        <v>0</v>
      </c>
      <c r="J9" s="88" t="e">
        <f t="shared" si="3"/>
        <v>#DIV/0!</v>
      </c>
      <c r="K9" s="88">
        <f t="shared" si="4"/>
        <v>0</v>
      </c>
      <c r="L9" s="93">
        <f t="shared" si="5"/>
        <v>0</v>
      </c>
      <c r="M9" s="90"/>
      <c r="N9" s="38"/>
    </row>
    <row r="10" spans="1:15">
      <c r="A10" s="91">
        <v>5</v>
      </c>
      <c r="B10" s="92"/>
      <c r="C10" s="83"/>
      <c r="D10" s="84"/>
      <c r="E10" s="84"/>
      <c r="F10" s="94">
        <f t="shared" si="0"/>
        <v>0</v>
      </c>
      <c r="G10" s="84"/>
      <c r="H10" s="86">
        <f t="shared" si="1"/>
        <v>0</v>
      </c>
      <c r="I10" s="87">
        <f t="shared" si="2"/>
        <v>0</v>
      </c>
      <c r="J10" s="88" t="e">
        <f t="shared" si="3"/>
        <v>#DIV/0!</v>
      </c>
      <c r="K10" s="88">
        <f t="shared" si="4"/>
        <v>0</v>
      </c>
      <c r="L10" s="93">
        <f t="shared" si="5"/>
        <v>0</v>
      </c>
      <c r="M10" s="90"/>
      <c r="N10" s="38"/>
    </row>
    <row r="11" spans="1:15">
      <c r="A11" s="91">
        <v>6</v>
      </c>
      <c r="B11" s="92"/>
      <c r="C11" s="83"/>
      <c r="D11" s="84"/>
      <c r="E11" s="84"/>
      <c r="F11" s="94">
        <f t="shared" si="0"/>
        <v>0</v>
      </c>
      <c r="G11" s="84"/>
      <c r="H11" s="86">
        <f t="shared" si="1"/>
        <v>0</v>
      </c>
      <c r="I11" s="87">
        <f t="shared" si="2"/>
        <v>0</v>
      </c>
      <c r="J11" s="88" t="e">
        <f t="shared" si="3"/>
        <v>#DIV/0!</v>
      </c>
      <c r="K11" s="88">
        <f t="shared" si="4"/>
        <v>0</v>
      </c>
      <c r="L11" s="93">
        <f t="shared" si="5"/>
        <v>0</v>
      </c>
      <c r="M11" s="90"/>
      <c r="N11" s="38"/>
    </row>
    <row r="12" spans="1:15">
      <c r="A12" s="91">
        <v>7</v>
      </c>
      <c r="B12" s="92"/>
      <c r="C12" s="83"/>
      <c r="D12" s="84"/>
      <c r="E12" s="84"/>
      <c r="F12" s="94">
        <f t="shared" si="0"/>
        <v>0</v>
      </c>
      <c r="G12" s="95"/>
      <c r="H12" s="86">
        <f t="shared" si="1"/>
        <v>0</v>
      </c>
      <c r="I12" s="87">
        <f t="shared" si="2"/>
        <v>0</v>
      </c>
      <c r="J12" s="88" t="e">
        <f t="shared" si="3"/>
        <v>#DIV/0!</v>
      </c>
      <c r="K12" s="88">
        <f t="shared" si="4"/>
        <v>0</v>
      </c>
      <c r="L12" s="93">
        <f t="shared" si="5"/>
        <v>0</v>
      </c>
      <c r="M12" s="90"/>
      <c r="N12" s="38"/>
    </row>
    <row r="13" spans="1:15">
      <c r="A13" s="91">
        <v>8</v>
      </c>
      <c r="B13" s="92"/>
      <c r="C13" s="83"/>
      <c r="D13" s="84"/>
      <c r="E13" s="84"/>
      <c r="F13" s="94">
        <f t="shared" si="0"/>
        <v>0</v>
      </c>
      <c r="G13" s="95"/>
      <c r="H13" s="86">
        <f t="shared" si="1"/>
        <v>0</v>
      </c>
      <c r="I13" s="87">
        <f t="shared" si="2"/>
        <v>0</v>
      </c>
      <c r="J13" s="88" t="e">
        <f t="shared" si="3"/>
        <v>#DIV/0!</v>
      </c>
      <c r="K13" s="88">
        <f t="shared" si="4"/>
        <v>0</v>
      </c>
      <c r="L13" s="93">
        <f t="shared" si="5"/>
        <v>0</v>
      </c>
      <c r="M13" s="90"/>
    </row>
    <row r="14" spans="1:15">
      <c r="A14" s="91">
        <v>9</v>
      </c>
      <c r="B14" s="92"/>
      <c r="C14" s="83"/>
      <c r="D14" s="84"/>
      <c r="E14" s="84"/>
      <c r="F14" s="94">
        <f t="shared" si="0"/>
        <v>0</v>
      </c>
      <c r="G14" s="95"/>
      <c r="H14" s="86">
        <f t="shared" si="1"/>
        <v>0</v>
      </c>
      <c r="I14" s="87">
        <f t="shared" si="2"/>
        <v>0</v>
      </c>
      <c r="J14" s="88" t="e">
        <f t="shared" si="3"/>
        <v>#DIV/0!</v>
      </c>
      <c r="K14" s="88">
        <f t="shared" si="4"/>
        <v>0</v>
      </c>
      <c r="L14" s="93">
        <f t="shared" si="5"/>
        <v>0</v>
      </c>
      <c r="M14" s="90"/>
    </row>
    <row r="15" spans="1:15" ht="13.8" thickBot="1">
      <c r="A15" s="96">
        <v>10</v>
      </c>
      <c r="B15" s="97"/>
      <c r="C15" s="98"/>
      <c r="D15" s="99"/>
      <c r="E15" s="99"/>
      <c r="F15" s="100">
        <f t="shared" si="0"/>
        <v>0</v>
      </c>
      <c r="G15" s="99"/>
      <c r="H15" s="86">
        <f t="shared" si="1"/>
        <v>0</v>
      </c>
      <c r="I15" s="101">
        <f t="shared" si="2"/>
        <v>0</v>
      </c>
      <c r="J15" s="102" t="e">
        <f t="shared" si="3"/>
        <v>#DIV/0!</v>
      </c>
      <c r="K15" s="102">
        <f t="shared" si="4"/>
        <v>0</v>
      </c>
      <c r="L15" s="103">
        <f t="shared" si="5"/>
        <v>0</v>
      </c>
      <c r="M15" s="90"/>
    </row>
    <row r="16" spans="1:15" ht="29.25" customHeight="1" thickTop="1">
      <c r="A16" s="90"/>
      <c r="B16" s="163"/>
      <c r="C16" s="164"/>
      <c r="D16" s="164"/>
      <c r="E16" s="164"/>
      <c r="F16" s="164"/>
      <c r="G16" s="164"/>
      <c r="H16" s="164"/>
      <c r="I16" s="4"/>
      <c r="J16" s="104" t="s">
        <v>102</v>
      </c>
      <c r="K16" s="4"/>
      <c r="L16" s="4"/>
      <c r="M16" s="4"/>
    </row>
    <row r="17" spans="1:15" ht="16.2" thickBot="1">
      <c r="A17" s="70" t="s">
        <v>179</v>
      </c>
      <c r="B17" s="4"/>
      <c r="C17" s="4"/>
      <c r="D17" s="25"/>
      <c r="E17" s="25"/>
      <c r="F17" s="4"/>
      <c r="G17" s="25"/>
      <c r="H17" s="25"/>
      <c r="I17" s="25"/>
      <c r="J17" s="25"/>
      <c r="K17" s="4"/>
      <c r="L17" s="4"/>
      <c r="M17" s="4"/>
    </row>
    <row r="18" spans="1:15" ht="20.399999999999999" thickTop="1" thickBot="1">
      <c r="A18" s="4"/>
      <c r="B18" s="105"/>
      <c r="C18" s="160" t="s">
        <v>103</v>
      </c>
      <c r="D18" s="165"/>
      <c r="E18" s="166"/>
      <c r="F18" s="160" t="s">
        <v>104</v>
      </c>
      <c r="G18" s="167"/>
      <c r="H18" s="167"/>
      <c r="I18" s="168"/>
      <c r="J18" s="25"/>
      <c r="K18" s="4"/>
      <c r="L18" s="4"/>
      <c r="M18" s="4"/>
    </row>
    <row r="19" spans="1:15" ht="52.5" customHeight="1" thickTop="1">
      <c r="A19" s="4"/>
      <c r="B19" s="106" t="s">
        <v>92</v>
      </c>
      <c r="C19" s="107" t="s">
        <v>105</v>
      </c>
      <c r="D19" s="108" t="s">
        <v>106</v>
      </c>
      <c r="E19" s="109" t="s">
        <v>107</v>
      </c>
      <c r="F19" s="110" t="s">
        <v>108</v>
      </c>
      <c r="G19" s="111" t="s">
        <v>109</v>
      </c>
      <c r="H19" s="109" t="s">
        <v>110</v>
      </c>
      <c r="I19" s="112" t="s">
        <v>111</v>
      </c>
      <c r="J19" s="4"/>
      <c r="K19" s="4"/>
      <c r="L19" s="4"/>
      <c r="M19" s="4"/>
    </row>
    <row r="20" spans="1:15" ht="15" thickBot="1">
      <c r="A20" s="71" t="s">
        <v>91</v>
      </c>
      <c r="B20" s="113"/>
      <c r="C20" s="114" t="s">
        <v>70</v>
      </c>
      <c r="D20" s="115" t="s">
        <v>68</v>
      </c>
      <c r="E20" s="116" t="s">
        <v>112</v>
      </c>
      <c r="F20" s="117" t="s">
        <v>67</v>
      </c>
      <c r="G20" s="118" t="s">
        <v>113</v>
      </c>
      <c r="H20" s="116" t="s">
        <v>69</v>
      </c>
      <c r="I20" s="119" t="s">
        <v>114</v>
      </c>
      <c r="J20" s="120" t="s">
        <v>115</v>
      </c>
      <c r="K20" s="121"/>
      <c r="L20" s="121"/>
      <c r="M20" s="122"/>
      <c r="N20" s="39"/>
      <c r="O20" s="39"/>
    </row>
    <row r="21" spans="1:15" ht="17.399999999999999" thickTop="1">
      <c r="A21" s="81">
        <f t="shared" ref="A21:A30" si="6">A6</f>
        <v>1</v>
      </c>
      <c r="B21" s="82"/>
      <c r="C21" s="123">
        <v>2</v>
      </c>
      <c r="D21" s="124">
        <f t="shared" ref="D21:D30" si="7">D6-E6</f>
        <v>1771</v>
      </c>
      <c r="E21" s="125">
        <f t="shared" ref="E21:E30" si="8">60*(((11.9*(C21)^3)/D21)^0.385)</f>
        <v>19.469837618610239</v>
      </c>
      <c r="F21" s="126">
        <v>0.3</v>
      </c>
      <c r="G21" s="123">
        <v>2.96</v>
      </c>
      <c r="H21" s="127">
        <f t="shared" ref="H21:H30" si="9">C6</f>
        <v>192</v>
      </c>
      <c r="I21" s="128">
        <f t="shared" ref="I21:I30" si="10">F21*G21*H21</f>
        <v>170.49600000000001</v>
      </c>
      <c r="J21" s="129" t="s">
        <v>116</v>
      </c>
      <c r="K21" s="130" t="s">
        <v>117</v>
      </c>
      <c r="L21" s="130"/>
      <c r="M21" s="131"/>
      <c r="N21" s="39"/>
      <c r="O21" s="39"/>
    </row>
    <row r="22" spans="1:15" ht="15" customHeight="1">
      <c r="A22" s="91">
        <f t="shared" si="6"/>
        <v>2</v>
      </c>
      <c r="B22" s="92"/>
      <c r="C22" s="123"/>
      <c r="D22" s="124">
        <f t="shared" si="7"/>
        <v>0</v>
      </c>
      <c r="E22" s="132" t="e">
        <f t="shared" si="8"/>
        <v>#DIV/0!</v>
      </c>
      <c r="F22" s="126"/>
      <c r="G22" s="123"/>
      <c r="H22" s="133">
        <f t="shared" si="9"/>
        <v>0</v>
      </c>
      <c r="I22" s="134">
        <f t="shared" si="10"/>
        <v>0</v>
      </c>
      <c r="J22" s="129" t="s">
        <v>118</v>
      </c>
      <c r="K22" s="130" t="s">
        <v>119</v>
      </c>
      <c r="L22" s="130"/>
      <c r="M22" s="131"/>
      <c r="N22" s="39"/>
      <c r="O22" s="39"/>
    </row>
    <row r="23" spans="1:15" ht="16.8">
      <c r="A23" s="91">
        <f t="shared" si="6"/>
        <v>3</v>
      </c>
      <c r="B23" s="92"/>
      <c r="C23" s="123"/>
      <c r="D23" s="124">
        <f t="shared" si="7"/>
        <v>0</v>
      </c>
      <c r="E23" s="132" t="e">
        <f t="shared" si="8"/>
        <v>#DIV/0!</v>
      </c>
      <c r="F23" s="126"/>
      <c r="G23" s="123"/>
      <c r="H23" s="133">
        <f t="shared" si="9"/>
        <v>0</v>
      </c>
      <c r="I23" s="134">
        <f t="shared" si="10"/>
        <v>0</v>
      </c>
      <c r="J23" s="129" t="s">
        <v>120</v>
      </c>
      <c r="K23" s="130" t="s">
        <v>121</v>
      </c>
      <c r="L23" s="130"/>
      <c r="M23" s="135"/>
      <c r="N23" s="40"/>
      <c r="O23" s="40"/>
    </row>
    <row r="24" spans="1:15" ht="16.8">
      <c r="A24" s="91">
        <f t="shared" si="6"/>
        <v>4</v>
      </c>
      <c r="B24" s="92"/>
      <c r="C24" s="123"/>
      <c r="D24" s="124">
        <f t="shared" si="7"/>
        <v>0</v>
      </c>
      <c r="E24" s="132" t="e">
        <f t="shared" si="8"/>
        <v>#DIV/0!</v>
      </c>
      <c r="F24" s="126"/>
      <c r="G24" s="123"/>
      <c r="H24" s="133">
        <f t="shared" si="9"/>
        <v>0</v>
      </c>
      <c r="I24" s="134">
        <f t="shared" si="10"/>
        <v>0</v>
      </c>
      <c r="J24" s="136" t="s">
        <v>122</v>
      </c>
      <c r="K24" s="137" t="s">
        <v>123</v>
      </c>
      <c r="L24" s="137"/>
      <c r="M24" s="138"/>
      <c r="N24" s="39"/>
      <c r="O24" s="39"/>
    </row>
    <row r="25" spans="1:15" ht="15.75" customHeight="1">
      <c r="A25" s="91">
        <f t="shared" si="6"/>
        <v>5</v>
      </c>
      <c r="B25" s="92"/>
      <c r="C25" s="123"/>
      <c r="D25" s="124">
        <f t="shared" si="7"/>
        <v>0</v>
      </c>
      <c r="E25" s="132" t="e">
        <f t="shared" si="8"/>
        <v>#DIV/0!</v>
      </c>
      <c r="F25" s="126"/>
      <c r="G25" s="123"/>
      <c r="H25" s="133">
        <f t="shared" si="9"/>
        <v>0</v>
      </c>
      <c r="I25" s="134">
        <f t="shared" si="10"/>
        <v>0</v>
      </c>
      <c r="J25" s="4"/>
      <c r="K25" s="169"/>
      <c r="L25" s="170"/>
      <c r="M25" s="170"/>
    </row>
    <row r="26" spans="1:15" ht="15.75" customHeight="1">
      <c r="A26" s="91">
        <f t="shared" si="6"/>
        <v>6</v>
      </c>
      <c r="B26" s="92"/>
      <c r="C26" s="123"/>
      <c r="D26" s="124">
        <f t="shared" si="7"/>
        <v>0</v>
      </c>
      <c r="E26" s="132" t="e">
        <f t="shared" si="8"/>
        <v>#DIV/0!</v>
      </c>
      <c r="F26" s="126"/>
      <c r="G26" s="123"/>
      <c r="H26" s="133">
        <f t="shared" si="9"/>
        <v>0</v>
      </c>
      <c r="I26" s="134">
        <f t="shared" si="10"/>
        <v>0</v>
      </c>
      <c r="J26" s="4"/>
      <c r="K26" s="171"/>
      <c r="L26" s="171"/>
      <c r="M26" s="171"/>
    </row>
    <row r="27" spans="1:15" ht="15.75" customHeight="1">
      <c r="A27" s="91">
        <f t="shared" si="6"/>
        <v>7</v>
      </c>
      <c r="B27" s="92"/>
      <c r="C27" s="123"/>
      <c r="D27" s="124">
        <f t="shared" si="7"/>
        <v>0</v>
      </c>
      <c r="E27" s="132" t="e">
        <f t="shared" si="8"/>
        <v>#DIV/0!</v>
      </c>
      <c r="F27" s="126"/>
      <c r="G27" s="123"/>
      <c r="H27" s="133">
        <f t="shared" si="9"/>
        <v>0</v>
      </c>
      <c r="I27" s="139">
        <f t="shared" si="10"/>
        <v>0</v>
      </c>
      <c r="J27" s="4"/>
      <c r="K27" s="171"/>
      <c r="L27" s="171"/>
      <c r="M27" s="171"/>
    </row>
    <row r="28" spans="1:15" ht="15.75" customHeight="1">
      <c r="A28" s="91">
        <f t="shared" si="6"/>
        <v>8</v>
      </c>
      <c r="B28" s="92"/>
      <c r="C28" s="123"/>
      <c r="D28" s="124">
        <f t="shared" si="7"/>
        <v>0</v>
      </c>
      <c r="E28" s="132" t="e">
        <f t="shared" si="8"/>
        <v>#DIV/0!</v>
      </c>
      <c r="F28" s="126"/>
      <c r="G28" s="123"/>
      <c r="H28" s="133">
        <f t="shared" si="9"/>
        <v>0</v>
      </c>
      <c r="I28" s="139">
        <f t="shared" si="10"/>
        <v>0</v>
      </c>
      <c r="J28" s="4"/>
      <c r="K28" s="171"/>
      <c r="L28" s="171"/>
      <c r="M28" s="171"/>
    </row>
    <row r="29" spans="1:15" ht="15.75" customHeight="1">
      <c r="A29" s="91">
        <f t="shared" si="6"/>
        <v>9</v>
      </c>
      <c r="B29" s="92"/>
      <c r="C29" s="123"/>
      <c r="D29" s="124">
        <f t="shared" si="7"/>
        <v>0</v>
      </c>
      <c r="E29" s="132" t="e">
        <f t="shared" si="8"/>
        <v>#DIV/0!</v>
      </c>
      <c r="F29" s="126"/>
      <c r="G29" s="123"/>
      <c r="H29" s="133">
        <f t="shared" si="9"/>
        <v>0</v>
      </c>
      <c r="I29" s="139">
        <f t="shared" si="10"/>
        <v>0</v>
      </c>
      <c r="J29" s="4"/>
      <c r="K29" s="171"/>
      <c r="L29" s="171"/>
      <c r="M29" s="171"/>
    </row>
    <row r="30" spans="1:15" ht="15.75" customHeight="1" thickBot="1">
      <c r="A30" s="96">
        <f t="shared" si="6"/>
        <v>10</v>
      </c>
      <c r="B30" s="97"/>
      <c r="C30" s="140"/>
      <c r="D30" s="141">
        <f t="shared" si="7"/>
        <v>0</v>
      </c>
      <c r="E30" s="142" t="e">
        <f t="shared" si="8"/>
        <v>#DIV/0!</v>
      </c>
      <c r="F30" s="140"/>
      <c r="G30" s="143"/>
      <c r="H30" s="144">
        <f t="shared" si="9"/>
        <v>0</v>
      </c>
      <c r="I30" s="145">
        <f t="shared" si="10"/>
        <v>0</v>
      </c>
      <c r="J30" s="146"/>
      <c r="K30" s="147"/>
      <c r="L30" s="148"/>
      <c r="M30" s="130"/>
    </row>
    <row r="31" spans="1:15" ht="13.8" thickTop="1">
      <c r="A31" s="90"/>
      <c r="B31" s="156" t="s">
        <v>124</v>
      </c>
      <c r="C31" s="157"/>
      <c r="D31" s="157"/>
      <c r="E31" s="157"/>
      <c r="F31" s="157"/>
      <c r="G31" s="157"/>
      <c r="H31" s="157"/>
      <c r="I31" s="157"/>
      <c r="J31" s="158"/>
      <c r="K31" s="159"/>
      <c r="L31" s="159"/>
      <c r="M31" s="159"/>
    </row>
    <row r="32" spans="1:15">
      <c r="B32" s="31"/>
    </row>
  </sheetData>
  <sheetProtection algorithmName="SHA-512" hashValue="+HwYYM5zJpDO3MbwayWoZn0JQj2YoqKPyWn72ZgNZdE8fAQ2ihDjYL9Rwavakj1sZzVLSZ0JNUpuKdqIRcnUfQ==" saltValue="k2/9Ss3x4uL2dBPCMkgevg==" spinCount="100000" sheet="1" objects="1" scenarios="1" selectLockedCells="1"/>
  <mergeCells count="7">
    <mergeCell ref="B31:I31"/>
    <mergeCell ref="J31:M31"/>
    <mergeCell ref="I4:L4"/>
    <mergeCell ref="B16:H16"/>
    <mergeCell ref="C18:E18"/>
    <mergeCell ref="F18:I18"/>
    <mergeCell ref="K25:M29"/>
  </mergeCells>
  <printOptions horizontalCentered="1"/>
  <pageMargins left="0.5" right="0.5" top="0.6" bottom="0.5" header="0.25" footer="0.25"/>
  <pageSetup scale="99" orientation="landscape" horizontalDpi="300" verticalDpi="300" r:id="rId1"/>
  <headerFooter alignWithMargins="0">
    <oddHeader>&amp;C&amp;"Arial,Bold"&amp;14Determination of 100-Year Flood Flow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5"/>
  <sheetViews>
    <sheetView showGridLines="0" zoomScaleNormal="100" workbookViewId="0">
      <selection activeCell="C9" sqref="C9"/>
    </sheetView>
  </sheetViews>
  <sheetFormatPr defaultRowHeight="13.2"/>
  <cols>
    <col min="4" max="4" width="40.5546875" customWidth="1"/>
    <col min="5" max="5" width="10.109375" customWidth="1"/>
    <col min="6" max="7" width="8.109375" customWidth="1"/>
    <col min="8" max="8" width="7.88671875" customWidth="1"/>
    <col min="9" max="9" width="8" customWidth="1"/>
    <col min="10" max="21" width="4.5546875" bestFit="1" customWidth="1"/>
    <col min="260" max="260" width="32" customWidth="1"/>
    <col min="261" max="261" width="10.109375" customWidth="1"/>
    <col min="262" max="263" width="8.109375" customWidth="1"/>
    <col min="264" max="264" width="7.88671875" customWidth="1"/>
    <col min="265" max="265" width="8" customWidth="1"/>
    <col min="266" max="277" width="4.5546875" bestFit="1" customWidth="1"/>
    <col min="516" max="516" width="32" customWidth="1"/>
    <col min="517" max="517" width="10.109375" customWidth="1"/>
    <col min="518" max="519" width="8.109375" customWidth="1"/>
    <col min="520" max="520" width="7.88671875" customWidth="1"/>
    <col min="521" max="521" width="8" customWidth="1"/>
    <col min="522" max="533" width="4.5546875" bestFit="1" customWidth="1"/>
    <col min="772" max="772" width="32" customWidth="1"/>
    <col min="773" max="773" width="10.109375" customWidth="1"/>
    <col min="774" max="775" width="8.109375" customWidth="1"/>
    <col min="776" max="776" width="7.88671875" customWidth="1"/>
    <col min="777" max="777" width="8" customWidth="1"/>
    <col min="778" max="789" width="4.5546875" bestFit="1" customWidth="1"/>
    <col min="1028" max="1028" width="32" customWidth="1"/>
    <col min="1029" max="1029" width="10.109375" customWidth="1"/>
    <col min="1030" max="1031" width="8.109375" customWidth="1"/>
    <col min="1032" max="1032" width="7.88671875" customWidth="1"/>
    <col min="1033" max="1033" width="8" customWidth="1"/>
    <col min="1034" max="1045" width="4.5546875" bestFit="1" customWidth="1"/>
    <col min="1284" max="1284" width="32" customWidth="1"/>
    <col min="1285" max="1285" width="10.109375" customWidth="1"/>
    <col min="1286" max="1287" width="8.109375" customWidth="1"/>
    <col min="1288" max="1288" width="7.88671875" customWidth="1"/>
    <col min="1289" max="1289" width="8" customWidth="1"/>
    <col min="1290" max="1301" width="4.5546875" bestFit="1" customWidth="1"/>
    <col min="1540" max="1540" width="32" customWidth="1"/>
    <col min="1541" max="1541" width="10.109375" customWidth="1"/>
    <col min="1542" max="1543" width="8.109375" customWidth="1"/>
    <col min="1544" max="1544" width="7.88671875" customWidth="1"/>
    <col min="1545" max="1545" width="8" customWidth="1"/>
    <col min="1546" max="1557" width="4.5546875" bestFit="1" customWidth="1"/>
    <col min="1796" max="1796" width="32" customWidth="1"/>
    <col min="1797" max="1797" width="10.109375" customWidth="1"/>
    <col min="1798" max="1799" width="8.109375" customWidth="1"/>
    <col min="1800" max="1800" width="7.88671875" customWidth="1"/>
    <col min="1801" max="1801" width="8" customWidth="1"/>
    <col min="1802" max="1813" width="4.5546875" bestFit="1" customWidth="1"/>
    <col min="2052" max="2052" width="32" customWidth="1"/>
    <col min="2053" max="2053" width="10.109375" customWidth="1"/>
    <col min="2054" max="2055" width="8.109375" customWidth="1"/>
    <col min="2056" max="2056" width="7.88671875" customWidth="1"/>
    <col min="2057" max="2057" width="8" customWidth="1"/>
    <col min="2058" max="2069" width="4.5546875" bestFit="1" customWidth="1"/>
    <col min="2308" max="2308" width="32" customWidth="1"/>
    <col min="2309" max="2309" width="10.109375" customWidth="1"/>
    <col min="2310" max="2311" width="8.109375" customWidth="1"/>
    <col min="2312" max="2312" width="7.88671875" customWidth="1"/>
    <col min="2313" max="2313" width="8" customWidth="1"/>
    <col min="2314" max="2325" width="4.5546875" bestFit="1" customWidth="1"/>
    <col min="2564" max="2564" width="32" customWidth="1"/>
    <col min="2565" max="2565" width="10.109375" customWidth="1"/>
    <col min="2566" max="2567" width="8.109375" customWidth="1"/>
    <col min="2568" max="2568" width="7.88671875" customWidth="1"/>
    <col min="2569" max="2569" width="8" customWidth="1"/>
    <col min="2570" max="2581" width="4.5546875" bestFit="1" customWidth="1"/>
    <col min="2820" max="2820" width="32" customWidth="1"/>
    <col min="2821" max="2821" width="10.109375" customWidth="1"/>
    <col min="2822" max="2823" width="8.109375" customWidth="1"/>
    <col min="2824" max="2824" width="7.88671875" customWidth="1"/>
    <col min="2825" max="2825" width="8" customWidth="1"/>
    <col min="2826" max="2837" width="4.5546875" bestFit="1" customWidth="1"/>
    <col min="3076" max="3076" width="32" customWidth="1"/>
    <col min="3077" max="3077" width="10.109375" customWidth="1"/>
    <col min="3078" max="3079" width="8.109375" customWidth="1"/>
    <col min="3080" max="3080" width="7.88671875" customWidth="1"/>
    <col min="3081" max="3081" width="8" customWidth="1"/>
    <col min="3082" max="3093" width="4.5546875" bestFit="1" customWidth="1"/>
    <col min="3332" max="3332" width="32" customWidth="1"/>
    <col min="3333" max="3333" width="10.109375" customWidth="1"/>
    <col min="3334" max="3335" width="8.109375" customWidth="1"/>
    <col min="3336" max="3336" width="7.88671875" customWidth="1"/>
    <col min="3337" max="3337" width="8" customWidth="1"/>
    <col min="3338" max="3349" width="4.5546875" bestFit="1" customWidth="1"/>
    <col min="3588" max="3588" width="32" customWidth="1"/>
    <col min="3589" max="3589" width="10.109375" customWidth="1"/>
    <col min="3590" max="3591" width="8.109375" customWidth="1"/>
    <col min="3592" max="3592" width="7.88671875" customWidth="1"/>
    <col min="3593" max="3593" width="8" customWidth="1"/>
    <col min="3594" max="3605" width="4.5546875" bestFit="1" customWidth="1"/>
    <col min="3844" max="3844" width="32" customWidth="1"/>
    <col min="3845" max="3845" width="10.109375" customWidth="1"/>
    <col min="3846" max="3847" width="8.109375" customWidth="1"/>
    <col min="3848" max="3848" width="7.88671875" customWidth="1"/>
    <col min="3849" max="3849" width="8" customWidth="1"/>
    <col min="3850" max="3861" width="4.5546875" bestFit="1" customWidth="1"/>
    <col min="4100" max="4100" width="32" customWidth="1"/>
    <col min="4101" max="4101" width="10.109375" customWidth="1"/>
    <col min="4102" max="4103" width="8.109375" customWidth="1"/>
    <col min="4104" max="4104" width="7.88671875" customWidth="1"/>
    <col min="4105" max="4105" width="8" customWidth="1"/>
    <col min="4106" max="4117" width="4.5546875" bestFit="1" customWidth="1"/>
    <col min="4356" max="4356" width="32" customWidth="1"/>
    <col min="4357" max="4357" width="10.109375" customWidth="1"/>
    <col min="4358" max="4359" width="8.109375" customWidth="1"/>
    <col min="4360" max="4360" width="7.88671875" customWidth="1"/>
    <col min="4361" max="4361" width="8" customWidth="1"/>
    <col min="4362" max="4373" width="4.5546875" bestFit="1" customWidth="1"/>
    <col min="4612" max="4612" width="32" customWidth="1"/>
    <col min="4613" max="4613" width="10.109375" customWidth="1"/>
    <col min="4614" max="4615" width="8.109375" customWidth="1"/>
    <col min="4616" max="4616" width="7.88671875" customWidth="1"/>
    <col min="4617" max="4617" width="8" customWidth="1"/>
    <col min="4618" max="4629" width="4.5546875" bestFit="1" customWidth="1"/>
    <col min="4868" max="4868" width="32" customWidth="1"/>
    <col min="4869" max="4869" width="10.109375" customWidth="1"/>
    <col min="4870" max="4871" width="8.109375" customWidth="1"/>
    <col min="4872" max="4872" width="7.88671875" customWidth="1"/>
    <col min="4873" max="4873" width="8" customWidth="1"/>
    <col min="4874" max="4885" width="4.5546875" bestFit="1" customWidth="1"/>
    <col min="5124" max="5124" width="32" customWidth="1"/>
    <col min="5125" max="5125" width="10.109375" customWidth="1"/>
    <col min="5126" max="5127" width="8.109375" customWidth="1"/>
    <col min="5128" max="5128" width="7.88671875" customWidth="1"/>
    <col min="5129" max="5129" width="8" customWidth="1"/>
    <col min="5130" max="5141" width="4.5546875" bestFit="1" customWidth="1"/>
    <col min="5380" max="5380" width="32" customWidth="1"/>
    <col min="5381" max="5381" width="10.109375" customWidth="1"/>
    <col min="5382" max="5383" width="8.109375" customWidth="1"/>
    <col min="5384" max="5384" width="7.88671875" customWidth="1"/>
    <col min="5385" max="5385" width="8" customWidth="1"/>
    <col min="5386" max="5397" width="4.5546875" bestFit="1" customWidth="1"/>
    <col min="5636" max="5636" width="32" customWidth="1"/>
    <col min="5637" max="5637" width="10.109375" customWidth="1"/>
    <col min="5638" max="5639" width="8.109375" customWidth="1"/>
    <col min="5640" max="5640" width="7.88671875" customWidth="1"/>
    <col min="5641" max="5641" width="8" customWidth="1"/>
    <col min="5642" max="5653" width="4.5546875" bestFit="1" customWidth="1"/>
    <col min="5892" max="5892" width="32" customWidth="1"/>
    <col min="5893" max="5893" width="10.109375" customWidth="1"/>
    <col min="5894" max="5895" width="8.109375" customWidth="1"/>
    <col min="5896" max="5896" width="7.88671875" customWidth="1"/>
    <col min="5897" max="5897" width="8" customWidth="1"/>
    <col min="5898" max="5909" width="4.5546875" bestFit="1" customWidth="1"/>
    <col min="6148" max="6148" width="32" customWidth="1"/>
    <col min="6149" max="6149" width="10.109375" customWidth="1"/>
    <col min="6150" max="6151" width="8.109375" customWidth="1"/>
    <col min="6152" max="6152" width="7.88671875" customWidth="1"/>
    <col min="6153" max="6153" width="8" customWidth="1"/>
    <col min="6154" max="6165" width="4.5546875" bestFit="1" customWidth="1"/>
    <col min="6404" max="6404" width="32" customWidth="1"/>
    <col min="6405" max="6405" width="10.109375" customWidth="1"/>
    <col min="6406" max="6407" width="8.109375" customWidth="1"/>
    <col min="6408" max="6408" width="7.88671875" customWidth="1"/>
    <col min="6409" max="6409" width="8" customWidth="1"/>
    <col min="6410" max="6421" width="4.5546875" bestFit="1" customWidth="1"/>
    <col min="6660" max="6660" width="32" customWidth="1"/>
    <col min="6661" max="6661" width="10.109375" customWidth="1"/>
    <col min="6662" max="6663" width="8.109375" customWidth="1"/>
    <col min="6664" max="6664" width="7.88671875" customWidth="1"/>
    <col min="6665" max="6665" width="8" customWidth="1"/>
    <col min="6666" max="6677" width="4.5546875" bestFit="1" customWidth="1"/>
    <col min="6916" max="6916" width="32" customWidth="1"/>
    <col min="6917" max="6917" width="10.109375" customWidth="1"/>
    <col min="6918" max="6919" width="8.109375" customWidth="1"/>
    <col min="6920" max="6920" width="7.88671875" customWidth="1"/>
    <col min="6921" max="6921" width="8" customWidth="1"/>
    <col min="6922" max="6933" width="4.5546875" bestFit="1" customWidth="1"/>
    <col min="7172" max="7172" width="32" customWidth="1"/>
    <col min="7173" max="7173" width="10.109375" customWidth="1"/>
    <col min="7174" max="7175" width="8.109375" customWidth="1"/>
    <col min="7176" max="7176" width="7.88671875" customWidth="1"/>
    <col min="7177" max="7177" width="8" customWidth="1"/>
    <col min="7178" max="7189" width="4.5546875" bestFit="1" customWidth="1"/>
    <col min="7428" max="7428" width="32" customWidth="1"/>
    <col min="7429" max="7429" width="10.109375" customWidth="1"/>
    <col min="7430" max="7431" width="8.109375" customWidth="1"/>
    <col min="7432" max="7432" width="7.88671875" customWidth="1"/>
    <col min="7433" max="7433" width="8" customWidth="1"/>
    <col min="7434" max="7445" width="4.5546875" bestFit="1" customWidth="1"/>
    <col min="7684" max="7684" width="32" customWidth="1"/>
    <col min="7685" max="7685" width="10.109375" customWidth="1"/>
    <col min="7686" max="7687" width="8.109375" customWidth="1"/>
    <col min="7688" max="7688" width="7.88671875" customWidth="1"/>
    <col min="7689" max="7689" width="8" customWidth="1"/>
    <col min="7690" max="7701" width="4.5546875" bestFit="1" customWidth="1"/>
    <col min="7940" max="7940" width="32" customWidth="1"/>
    <col min="7941" max="7941" width="10.109375" customWidth="1"/>
    <col min="7942" max="7943" width="8.109375" customWidth="1"/>
    <col min="7944" max="7944" width="7.88671875" customWidth="1"/>
    <col min="7945" max="7945" width="8" customWidth="1"/>
    <col min="7946" max="7957" width="4.5546875" bestFit="1" customWidth="1"/>
    <col min="8196" max="8196" width="32" customWidth="1"/>
    <col min="8197" max="8197" width="10.109375" customWidth="1"/>
    <col min="8198" max="8199" width="8.109375" customWidth="1"/>
    <col min="8200" max="8200" width="7.88671875" customWidth="1"/>
    <col min="8201" max="8201" width="8" customWidth="1"/>
    <col min="8202" max="8213" width="4.5546875" bestFit="1" customWidth="1"/>
    <col min="8452" max="8452" width="32" customWidth="1"/>
    <col min="8453" max="8453" width="10.109375" customWidth="1"/>
    <col min="8454" max="8455" width="8.109375" customWidth="1"/>
    <col min="8456" max="8456" width="7.88671875" customWidth="1"/>
    <col min="8457" max="8457" width="8" customWidth="1"/>
    <col min="8458" max="8469" width="4.5546875" bestFit="1" customWidth="1"/>
    <col min="8708" max="8708" width="32" customWidth="1"/>
    <col min="8709" max="8709" width="10.109375" customWidth="1"/>
    <col min="8710" max="8711" width="8.109375" customWidth="1"/>
    <col min="8712" max="8712" width="7.88671875" customWidth="1"/>
    <col min="8713" max="8713" width="8" customWidth="1"/>
    <col min="8714" max="8725" width="4.5546875" bestFit="1" customWidth="1"/>
    <col min="8964" max="8964" width="32" customWidth="1"/>
    <col min="8965" max="8965" width="10.109375" customWidth="1"/>
    <col min="8966" max="8967" width="8.109375" customWidth="1"/>
    <col min="8968" max="8968" width="7.88671875" customWidth="1"/>
    <col min="8969" max="8969" width="8" customWidth="1"/>
    <col min="8970" max="8981" width="4.5546875" bestFit="1" customWidth="1"/>
    <col min="9220" max="9220" width="32" customWidth="1"/>
    <col min="9221" max="9221" width="10.109375" customWidth="1"/>
    <col min="9222" max="9223" width="8.109375" customWidth="1"/>
    <col min="9224" max="9224" width="7.88671875" customWidth="1"/>
    <col min="9225" max="9225" width="8" customWidth="1"/>
    <col min="9226" max="9237" width="4.5546875" bestFit="1" customWidth="1"/>
    <col min="9476" max="9476" width="32" customWidth="1"/>
    <col min="9477" max="9477" width="10.109375" customWidth="1"/>
    <col min="9478" max="9479" width="8.109375" customWidth="1"/>
    <col min="9480" max="9480" width="7.88671875" customWidth="1"/>
    <col min="9481" max="9481" width="8" customWidth="1"/>
    <col min="9482" max="9493" width="4.5546875" bestFit="1" customWidth="1"/>
    <col min="9732" max="9732" width="32" customWidth="1"/>
    <col min="9733" max="9733" width="10.109375" customWidth="1"/>
    <col min="9734" max="9735" width="8.109375" customWidth="1"/>
    <col min="9736" max="9736" width="7.88671875" customWidth="1"/>
    <col min="9737" max="9737" width="8" customWidth="1"/>
    <col min="9738" max="9749" width="4.5546875" bestFit="1" customWidth="1"/>
    <col min="9988" max="9988" width="32" customWidth="1"/>
    <col min="9989" max="9989" width="10.109375" customWidth="1"/>
    <col min="9990" max="9991" width="8.109375" customWidth="1"/>
    <col min="9992" max="9992" width="7.88671875" customWidth="1"/>
    <col min="9993" max="9993" width="8" customWidth="1"/>
    <col min="9994" max="10005" width="4.5546875" bestFit="1" customWidth="1"/>
    <col min="10244" max="10244" width="32" customWidth="1"/>
    <col min="10245" max="10245" width="10.109375" customWidth="1"/>
    <col min="10246" max="10247" width="8.109375" customWidth="1"/>
    <col min="10248" max="10248" width="7.88671875" customWidth="1"/>
    <col min="10249" max="10249" width="8" customWidth="1"/>
    <col min="10250" max="10261" width="4.5546875" bestFit="1" customWidth="1"/>
    <col min="10500" max="10500" width="32" customWidth="1"/>
    <col min="10501" max="10501" width="10.109375" customWidth="1"/>
    <col min="10502" max="10503" width="8.109375" customWidth="1"/>
    <col min="10504" max="10504" width="7.88671875" customWidth="1"/>
    <col min="10505" max="10505" width="8" customWidth="1"/>
    <col min="10506" max="10517" width="4.5546875" bestFit="1" customWidth="1"/>
    <col min="10756" max="10756" width="32" customWidth="1"/>
    <col min="10757" max="10757" width="10.109375" customWidth="1"/>
    <col min="10758" max="10759" width="8.109375" customWidth="1"/>
    <col min="10760" max="10760" width="7.88671875" customWidth="1"/>
    <col min="10761" max="10761" width="8" customWidth="1"/>
    <col min="10762" max="10773" width="4.5546875" bestFit="1" customWidth="1"/>
    <col min="11012" max="11012" width="32" customWidth="1"/>
    <col min="11013" max="11013" width="10.109375" customWidth="1"/>
    <col min="11014" max="11015" width="8.109375" customWidth="1"/>
    <col min="11016" max="11016" width="7.88671875" customWidth="1"/>
    <col min="11017" max="11017" width="8" customWidth="1"/>
    <col min="11018" max="11029" width="4.5546875" bestFit="1" customWidth="1"/>
    <col min="11268" max="11268" width="32" customWidth="1"/>
    <col min="11269" max="11269" width="10.109375" customWidth="1"/>
    <col min="11270" max="11271" width="8.109375" customWidth="1"/>
    <col min="11272" max="11272" width="7.88671875" customWidth="1"/>
    <col min="11273" max="11273" width="8" customWidth="1"/>
    <col min="11274" max="11285" width="4.5546875" bestFit="1" customWidth="1"/>
    <col min="11524" max="11524" width="32" customWidth="1"/>
    <col min="11525" max="11525" width="10.109375" customWidth="1"/>
    <col min="11526" max="11527" width="8.109375" customWidth="1"/>
    <col min="11528" max="11528" width="7.88671875" customWidth="1"/>
    <col min="11529" max="11529" width="8" customWidth="1"/>
    <col min="11530" max="11541" width="4.5546875" bestFit="1" customWidth="1"/>
    <col min="11780" max="11780" width="32" customWidth="1"/>
    <col min="11781" max="11781" width="10.109375" customWidth="1"/>
    <col min="11782" max="11783" width="8.109375" customWidth="1"/>
    <col min="11784" max="11784" width="7.88671875" customWidth="1"/>
    <col min="11785" max="11785" width="8" customWidth="1"/>
    <col min="11786" max="11797" width="4.5546875" bestFit="1" customWidth="1"/>
    <col min="12036" max="12036" width="32" customWidth="1"/>
    <col min="12037" max="12037" width="10.109375" customWidth="1"/>
    <col min="12038" max="12039" width="8.109375" customWidth="1"/>
    <col min="12040" max="12040" width="7.88671875" customWidth="1"/>
    <col min="12041" max="12041" width="8" customWidth="1"/>
    <col min="12042" max="12053" width="4.5546875" bestFit="1" customWidth="1"/>
    <col min="12292" max="12292" width="32" customWidth="1"/>
    <col min="12293" max="12293" width="10.109375" customWidth="1"/>
    <col min="12294" max="12295" width="8.109375" customWidth="1"/>
    <col min="12296" max="12296" width="7.88671875" customWidth="1"/>
    <col min="12297" max="12297" width="8" customWidth="1"/>
    <col min="12298" max="12309" width="4.5546875" bestFit="1" customWidth="1"/>
    <col min="12548" max="12548" width="32" customWidth="1"/>
    <col min="12549" max="12549" width="10.109375" customWidth="1"/>
    <col min="12550" max="12551" width="8.109375" customWidth="1"/>
    <col min="12552" max="12552" width="7.88671875" customWidth="1"/>
    <col min="12553" max="12553" width="8" customWidth="1"/>
    <col min="12554" max="12565" width="4.5546875" bestFit="1" customWidth="1"/>
    <col min="12804" max="12804" width="32" customWidth="1"/>
    <col min="12805" max="12805" width="10.109375" customWidth="1"/>
    <col min="12806" max="12807" width="8.109375" customWidth="1"/>
    <col min="12808" max="12808" width="7.88671875" customWidth="1"/>
    <col min="12809" max="12809" width="8" customWidth="1"/>
    <col min="12810" max="12821" width="4.5546875" bestFit="1" customWidth="1"/>
    <col min="13060" max="13060" width="32" customWidth="1"/>
    <col min="13061" max="13061" width="10.109375" customWidth="1"/>
    <col min="13062" max="13063" width="8.109375" customWidth="1"/>
    <col min="13064" max="13064" width="7.88671875" customWidth="1"/>
    <col min="13065" max="13065" width="8" customWidth="1"/>
    <col min="13066" max="13077" width="4.5546875" bestFit="1" customWidth="1"/>
    <col min="13316" max="13316" width="32" customWidth="1"/>
    <col min="13317" max="13317" width="10.109375" customWidth="1"/>
    <col min="13318" max="13319" width="8.109375" customWidth="1"/>
    <col min="13320" max="13320" width="7.88671875" customWidth="1"/>
    <col min="13321" max="13321" width="8" customWidth="1"/>
    <col min="13322" max="13333" width="4.5546875" bestFit="1" customWidth="1"/>
    <col min="13572" max="13572" width="32" customWidth="1"/>
    <col min="13573" max="13573" width="10.109375" customWidth="1"/>
    <col min="13574" max="13575" width="8.109375" customWidth="1"/>
    <col min="13576" max="13576" width="7.88671875" customWidth="1"/>
    <col min="13577" max="13577" width="8" customWidth="1"/>
    <col min="13578" max="13589" width="4.5546875" bestFit="1" customWidth="1"/>
    <col min="13828" max="13828" width="32" customWidth="1"/>
    <col min="13829" max="13829" width="10.109375" customWidth="1"/>
    <col min="13830" max="13831" width="8.109375" customWidth="1"/>
    <col min="13832" max="13832" width="7.88671875" customWidth="1"/>
    <col min="13833" max="13833" width="8" customWidth="1"/>
    <col min="13834" max="13845" width="4.5546875" bestFit="1" customWidth="1"/>
    <col min="14084" max="14084" width="32" customWidth="1"/>
    <col min="14085" max="14085" width="10.109375" customWidth="1"/>
    <col min="14086" max="14087" width="8.109375" customWidth="1"/>
    <col min="14088" max="14088" width="7.88671875" customWidth="1"/>
    <col min="14089" max="14089" width="8" customWidth="1"/>
    <col min="14090" max="14101" width="4.5546875" bestFit="1" customWidth="1"/>
    <col min="14340" max="14340" width="32" customWidth="1"/>
    <col min="14341" max="14341" width="10.109375" customWidth="1"/>
    <col min="14342" max="14343" width="8.109375" customWidth="1"/>
    <col min="14344" max="14344" width="7.88671875" customWidth="1"/>
    <col min="14345" max="14345" width="8" customWidth="1"/>
    <col min="14346" max="14357" width="4.5546875" bestFit="1" customWidth="1"/>
    <col min="14596" max="14596" width="32" customWidth="1"/>
    <col min="14597" max="14597" width="10.109375" customWidth="1"/>
    <col min="14598" max="14599" width="8.109375" customWidth="1"/>
    <col min="14600" max="14600" width="7.88671875" customWidth="1"/>
    <col min="14601" max="14601" width="8" customWidth="1"/>
    <col min="14602" max="14613" width="4.5546875" bestFit="1" customWidth="1"/>
    <col min="14852" max="14852" width="32" customWidth="1"/>
    <col min="14853" max="14853" width="10.109375" customWidth="1"/>
    <col min="14854" max="14855" width="8.109375" customWidth="1"/>
    <col min="14856" max="14856" width="7.88671875" customWidth="1"/>
    <col min="14857" max="14857" width="8" customWidth="1"/>
    <col min="14858" max="14869" width="4.5546875" bestFit="1" customWidth="1"/>
    <col min="15108" max="15108" width="32" customWidth="1"/>
    <col min="15109" max="15109" width="10.109375" customWidth="1"/>
    <col min="15110" max="15111" width="8.109375" customWidth="1"/>
    <col min="15112" max="15112" width="7.88671875" customWidth="1"/>
    <col min="15113" max="15113" width="8" customWidth="1"/>
    <col min="15114" max="15125" width="4.5546875" bestFit="1" customWidth="1"/>
    <col min="15364" max="15364" width="32" customWidth="1"/>
    <col min="15365" max="15365" width="10.109375" customWidth="1"/>
    <col min="15366" max="15367" width="8.109375" customWidth="1"/>
    <col min="15368" max="15368" width="7.88671875" customWidth="1"/>
    <col min="15369" max="15369" width="8" customWidth="1"/>
    <col min="15370" max="15381" width="4.5546875" bestFit="1" customWidth="1"/>
    <col min="15620" max="15620" width="32" customWidth="1"/>
    <col min="15621" max="15621" width="10.109375" customWidth="1"/>
    <col min="15622" max="15623" width="8.109375" customWidth="1"/>
    <col min="15624" max="15624" width="7.88671875" customWidth="1"/>
    <col min="15625" max="15625" width="8" customWidth="1"/>
    <col min="15626" max="15637" width="4.5546875" bestFit="1" customWidth="1"/>
    <col min="15876" max="15876" width="32" customWidth="1"/>
    <col min="15877" max="15877" width="10.109375" customWidth="1"/>
    <col min="15878" max="15879" width="8.109375" customWidth="1"/>
    <col min="15880" max="15880" width="7.88671875" customWidth="1"/>
    <col min="15881" max="15881" width="8" customWidth="1"/>
    <col min="15882" max="15893" width="4.5546875" bestFit="1" customWidth="1"/>
    <col min="16132" max="16132" width="32" customWidth="1"/>
    <col min="16133" max="16133" width="10.109375" customWidth="1"/>
    <col min="16134" max="16135" width="8.109375" customWidth="1"/>
    <col min="16136" max="16136" width="7.88671875" customWidth="1"/>
    <col min="16137" max="16137" width="8" customWidth="1"/>
    <col min="16138" max="16149" width="4.5546875" bestFit="1" customWidth="1"/>
  </cols>
  <sheetData>
    <row r="1" spans="1:13" ht="12.75" customHeight="1">
      <c r="A1" s="203" t="s">
        <v>180</v>
      </c>
      <c r="B1" s="203"/>
      <c r="C1" s="203"/>
      <c r="D1" s="203"/>
      <c r="F1" s="204" t="s">
        <v>3</v>
      </c>
      <c r="G1" s="204"/>
      <c r="H1" s="204"/>
      <c r="I1" s="204"/>
    </row>
    <row r="2" spans="1:13" ht="13.8" thickBot="1">
      <c r="A2" s="203"/>
      <c r="B2" s="203"/>
      <c r="C2" s="203"/>
      <c r="D2" s="203"/>
      <c r="F2" s="33" t="s">
        <v>5</v>
      </c>
      <c r="G2" s="33" t="s">
        <v>6</v>
      </c>
      <c r="H2" s="33" t="s">
        <v>5</v>
      </c>
      <c r="I2" s="33" t="s">
        <v>6</v>
      </c>
    </row>
    <row r="3" spans="1:13" ht="13.8" thickTop="1">
      <c r="A3" s="203"/>
      <c r="B3" s="203"/>
      <c r="C3" s="203"/>
      <c r="D3" s="203"/>
      <c r="F3" s="34">
        <v>0</v>
      </c>
      <c r="G3" s="19">
        <f t="shared" ref="G3:G28" si="0">DEGREES(ATAN(F3/100))</f>
        <v>0</v>
      </c>
      <c r="H3" s="34">
        <v>52</v>
      </c>
      <c r="I3" s="19">
        <f t="shared" ref="I3:I28" si="1">DEGREES(ATAN(H3/100))</f>
        <v>27.474431626277134</v>
      </c>
      <c r="L3" s="10"/>
      <c r="M3" t="str">
        <f>"= 1h:1v"</f>
        <v>= 1h:1v</v>
      </c>
    </row>
    <row r="4" spans="1:13">
      <c r="A4" t="s">
        <v>71</v>
      </c>
      <c r="F4" s="18">
        <v>2</v>
      </c>
      <c r="G4" s="19">
        <f t="shared" si="0"/>
        <v>1.1457628381751035</v>
      </c>
      <c r="H4" s="18">
        <v>54</v>
      </c>
      <c r="I4" s="19">
        <f t="shared" si="1"/>
        <v>28.369046293278583</v>
      </c>
      <c r="L4" s="12"/>
      <c r="M4" t="str">
        <f>"= 1.5h:1v"</f>
        <v>= 1.5h:1v</v>
      </c>
    </row>
    <row r="5" spans="1:13">
      <c r="C5" s="61">
        <v>3.4</v>
      </c>
      <c r="D5" t="s">
        <v>72</v>
      </c>
      <c r="F5" s="18">
        <v>4</v>
      </c>
      <c r="G5" s="19">
        <f t="shared" si="0"/>
        <v>2.2906100426385296</v>
      </c>
      <c r="H5" s="18">
        <v>56</v>
      </c>
      <c r="I5" s="19">
        <f t="shared" si="1"/>
        <v>29.24882633654698</v>
      </c>
      <c r="L5" s="13"/>
      <c r="M5" t="str">
        <f>"= 2h:1v"</f>
        <v>= 2h:1v</v>
      </c>
    </row>
    <row r="6" spans="1:13">
      <c r="C6" s="61">
        <v>8</v>
      </c>
      <c r="D6" t="s">
        <v>73</v>
      </c>
      <c r="F6" s="18">
        <v>6</v>
      </c>
      <c r="G6" s="19">
        <f t="shared" si="0"/>
        <v>3.433630362450522</v>
      </c>
      <c r="H6" s="18">
        <v>58</v>
      </c>
      <c r="I6" s="19">
        <f t="shared" si="1"/>
        <v>30.113733150982437</v>
      </c>
    </row>
    <row r="7" spans="1:13">
      <c r="C7" s="61">
        <v>12</v>
      </c>
      <c r="D7" t="s">
        <v>74</v>
      </c>
      <c r="F7" s="18">
        <v>8</v>
      </c>
      <c r="G7" s="19">
        <f t="shared" si="0"/>
        <v>4.5739212599008612</v>
      </c>
      <c r="H7" s="18">
        <v>60</v>
      </c>
      <c r="I7" s="19">
        <f t="shared" si="1"/>
        <v>30.963756532073521</v>
      </c>
    </row>
    <row r="8" spans="1:13">
      <c r="C8" s="61">
        <v>60</v>
      </c>
      <c r="D8" t="s">
        <v>75</v>
      </c>
      <c r="F8" s="18">
        <v>10</v>
      </c>
      <c r="G8" s="19">
        <f t="shared" si="0"/>
        <v>5.710593137499643</v>
      </c>
      <c r="H8" s="18">
        <v>62</v>
      </c>
      <c r="I8" s="19">
        <f t="shared" si="1"/>
        <v>31.798912824294419</v>
      </c>
    </row>
    <row r="9" spans="1:13">
      <c r="C9" s="61">
        <v>26.6</v>
      </c>
      <c r="D9" t="s">
        <v>76</v>
      </c>
      <c r="F9" s="18">
        <v>12</v>
      </c>
      <c r="G9" s="19">
        <f t="shared" si="0"/>
        <v>6.8427734126309403</v>
      </c>
      <c r="H9" s="18">
        <v>64</v>
      </c>
      <c r="I9" s="19">
        <f>DEGREES(ATAN('[2]Fillslope distance above pipe'!A5/100))</f>
        <v>16.699244233993621</v>
      </c>
    </row>
    <row r="10" spans="1:13">
      <c r="F10" s="18">
        <v>14</v>
      </c>
      <c r="G10" s="19">
        <f t="shared" si="0"/>
        <v>7.9696103943213599</v>
      </c>
      <c r="H10" s="15">
        <v>66</v>
      </c>
      <c r="I10" s="16">
        <f t="shared" si="1"/>
        <v>33.424811182603804</v>
      </c>
    </row>
    <row r="11" spans="1:13" ht="14.7" customHeight="1">
      <c r="A11" t="s">
        <v>77</v>
      </c>
      <c r="C11" s="150">
        <f>(TAN(RADIANS(C5))*(B25+C7))+C6</f>
        <v>9.662058723258431</v>
      </c>
      <c r="D11" s="205" t="s">
        <v>182</v>
      </c>
      <c r="F11" s="18">
        <v>16</v>
      </c>
      <c r="G11" s="19">
        <f t="shared" si="0"/>
        <v>9.0902769208223226</v>
      </c>
      <c r="H11" s="18">
        <v>68</v>
      </c>
      <c r="I11" s="19">
        <f t="shared" si="1"/>
        <v>34.215702132437407</v>
      </c>
    </row>
    <row r="12" spans="1:13">
      <c r="C12" s="152"/>
      <c r="D12" s="206"/>
      <c r="F12" s="18">
        <v>18</v>
      </c>
      <c r="G12" s="19">
        <f t="shared" si="0"/>
        <v>10.203973721731684</v>
      </c>
      <c r="H12" s="18">
        <v>70</v>
      </c>
      <c r="I12" s="19">
        <f t="shared" si="1"/>
        <v>34.992020198558663</v>
      </c>
    </row>
    <row r="13" spans="1:13">
      <c r="C13" s="36">
        <f>SUM(C19:C22)</f>
        <v>70.232329226455491</v>
      </c>
      <c r="D13" s="35" t="s">
        <v>78</v>
      </c>
      <c r="F13" s="18">
        <v>20</v>
      </c>
      <c r="G13" s="19">
        <f t="shared" si="0"/>
        <v>11.309932474020215</v>
      </c>
      <c r="H13" s="18">
        <v>72</v>
      </c>
      <c r="I13" s="19">
        <f t="shared" si="1"/>
        <v>35.753887254436748</v>
      </c>
    </row>
    <row r="14" spans="1:13">
      <c r="A14" t="s">
        <v>79</v>
      </c>
      <c r="D14" s="35"/>
      <c r="F14" s="18">
        <v>22</v>
      </c>
      <c r="G14" s="19">
        <f t="shared" si="0"/>
        <v>12.407418527400745</v>
      </c>
      <c r="H14" s="18">
        <v>74</v>
      </c>
      <c r="I14" s="19">
        <f t="shared" si="1"/>
        <v>36.501441120506314</v>
      </c>
    </row>
    <row r="15" spans="1:13">
      <c r="A15" t="s">
        <v>80</v>
      </c>
      <c r="F15" s="18">
        <v>24</v>
      </c>
      <c r="G15" s="19">
        <f t="shared" si="0"/>
        <v>13.495733280795811</v>
      </c>
      <c r="H15" s="18">
        <v>76</v>
      </c>
      <c r="I15" s="19">
        <f>DEGREES(ATAN(H15/100))</f>
        <v>37.234833981574667</v>
      </c>
    </row>
    <row r="16" spans="1:13">
      <c r="A16" t="s">
        <v>81</v>
      </c>
      <c r="C16" s="37">
        <f>180-(C17+C18)</f>
        <v>23.199999999999989</v>
      </c>
      <c r="F16" s="18">
        <v>26</v>
      </c>
      <c r="G16" s="19">
        <f t="shared" si="0"/>
        <v>14.574216198038739</v>
      </c>
      <c r="H16" s="18">
        <v>78</v>
      </c>
      <c r="I16" s="19">
        <f>DEGREES(ATAN('[2]Fillslope distance above pipe'!A5/100))</f>
        <v>16.699244233993621</v>
      </c>
    </row>
    <row r="17" spans="1:9">
      <c r="A17" t="s">
        <v>82</v>
      </c>
      <c r="C17">
        <f>90+C5</f>
        <v>93.4</v>
      </c>
      <c r="F17" s="18">
        <v>28</v>
      </c>
      <c r="G17" s="19">
        <f t="shared" si="0"/>
        <v>15.642246457208728</v>
      </c>
      <c r="H17" s="18">
        <v>80</v>
      </c>
      <c r="I17" s="19">
        <f t="shared" si="1"/>
        <v>38.659808254090095</v>
      </c>
    </row>
    <row r="18" spans="1:9">
      <c r="A18" t="s">
        <v>83</v>
      </c>
      <c r="C18" s="37">
        <f>90-C9</f>
        <v>63.4</v>
      </c>
      <c r="F18" s="18">
        <v>30</v>
      </c>
      <c r="G18" s="19">
        <f t="shared" si="0"/>
        <v>16.699244233993621</v>
      </c>
      <c r="H18" s="18">
        <v>82</v>
      </c>
      <c r="I18" s="19">
        <f t="shared" si="1"/>
        <v>39.351752626264734</v>
      </c>
    </row>
    <row r="19" spans="1:9">
      <c r="A19" t="s">
        <v>84</v>
      </c>
      <c r="C19" s="37">
        <f>(C8/12)/(TAN(RADIANS(C5+C9)))</f>
        <v>8.6602540378443873</v>
      </c>
      <c r="F19" s="18">
        <v>32</v>
      </c>
      <c r="G19" s="19">
        <f t="shared" si="0"/>
        <v>17.744671625056935</v>
      </c>
      <c r="H19" s="18">
        <v>84</v>
      </c>
      <c r="I19" s="19">
        <f t="shared" si="1"/>
        <v>40.030259271889697</v>
      </c>
    </row>
    <row r="20" spans="1:9">
      <c r="A20" t="s">
        <v>85</v>
      </c>
      <c r="C20" s="37">
        <f>(C6*(TAN(RADIANS(90-C9))))+C7</f>
        <v>27.975630844796388</v>
      </c>
      <c r="F20" s="18">
        <v>34</v>
      </c>
      <c r="G20" s="19">
        <f t="shared" si="0"/>
        <v>18.778033222445544</v>
      </c>
      <c r="H20" s="18">
        <v>86</v>
      </c>
      <c r="I20" s="19">
        <f t="shared" si="1"/>
        <v>40.695531039492018</v>
      </c>
    </row>
    <row r="21" spans="1:9">
      <c r="A21" t="s">
        <v>86</v>
      </c>
      <c r="C21" s="37">
        <f>(C11/(SIN(RADIANS(C16))))*(SIN(RADIANS(C18)))</f>
        <v>21.930570304040465</v>
      </c>
      <c r="F21" s="18">
        <v>36</v>
      </c>
      <c r="G21" s="19">
        <f t="shared" si="0"/>
        <v>19.798876354524932</v>
      </c>
      <c r="H21" s="18">
        <v>88</v>
      </c>
      <c r="I21" s="19">
        <f t="shared" si="1"/>
        <v>41.347777219693668</v>
      </c>
    </row>
    <row r="22" spans="1:9">
      <c r="C22" s="37">
        <f>(C8/12)/(TAN(RADIANS(C9-C5)))</f>
        <v>11.66587403977425</v>
      </c>
      <c r="F22" s="18">
        <v>38</v>
      </c>
      <c r="G22" s="19">
        <f t="shared" si="0"/>
        <v>20.80679101271123</v>
      </c>
      <c r="H22" s="18">
        <v>90</v>
      </c>
      <c r="I22" s="19">
        <f t="shared" si="1"/>
        <v>41.987212495816657</v>
      </c>
    </row>
    <row r="23" spans="1:9">
      <c r="F23" s="18">
        <v>40</v>
      </c>
      <c r="G23" s="19">
        <f t="shared" si="0"/>
        <v>21.801409486351812</v>
      </c>
      <c r="H23" s="18">
        <v>92</v>
      </c>
      <c r="I23" s="19">
        <f t="shared" si="1"/>
        <v>42.614055969611186</v>
      </c>
    </row>
    <row r="24" spans="1:9">
      <c r="F24" s="18">
        <v>42</v>
      </c>
      <c r="G24" s="19">
        <f t="shared" si="0"/>
        <v>22.782405730481688</v>
      </c>
      <c r="H24" s="18">
        <v>94</v>
      </c>
      <c r="I24" s="19">
        <f t="shared" si="1"/>
        <v>43.228530259965922</v>
      </c>
    </row>
    <row r="25" spans="1:9">
      <c r="A25" t="s">
        <v>87</v>
      </c>
      <c r="B25">
        <f>C6/TAN(RADIANS(C9))</f>
        <v>15.97563084479639</v>
      </c>
      <c r="F25" s="18">
        <v>44</v>
      </c>
      <c r="G25" s="19">
        <f t="shared" si="0"/>
        <v>23.749494492866763</v>
      </c>
      <c r="H25" s="18">
        <v>96</v>
      </c>
      <c r="I25" s="19">
        <f t="shared" si="1"/>
        <v>43.830860672092584</v>
      </c>
    </row>
    <row r="26" spans="1:9">
      <c r="F26" s="18">
        <v>46</v>
      </c>
      <c r="G26" s="19">
        <f t="shared" si="0"/>
        <v>24.702430227771313</v>
      </c>
      <c r="H26" s="18">
        <v>98</v>
      </c>
      <c r="I26" s="19">
        <f t="shared" si="1"/>
        <v>44.421274434392238</v>
      </c>
    </row>
    <row r="27" spans="1:9">
      <c r="F27" s="18">
        <v>48</v>
      </c>
      <c r="G27" s="19">
        <f t="shared" si="0"/>
        <v>25.641005824305282</v>
      </c>
      <c r="H27" s="20">
        <v>100</v>
      </c>
      <c r="I27" s="21">
        <f t="shared" si="1"/>
        <v>45</v>
      </c>
    </row>
    <row r="28" spans="1:9">
      <c r="F28" s="22">
        <v>50</v>
      </c>
      <c r="G28" s="23">
        <f t="shared" si="0"/>
        <v>26.56505117707799</v>
      </c>
      <c r="H28" s="18">
        <v>102</v>
      </c>
      <c r="I28" s="19">
        <f t="shared" si="1"/>
        <v>45.567266409857936</v>
      </c>
    </row>
    <row r="30" spans="1:9" ht="14.25" customHeight="1">
      <c r="A30" s="202" t="s">
        <v>181</v>
      </c>
      <c r="B30" s="202"/>
      <c r="C30" s="202"/>
      <c r="D30" s="202"/>
      <c r="E30" s="202"/>
      <c r="F30" s="64"/>
      <c r="G30" s="64"/>
      <c r="H30" s="64"/>
      <c r="I30" s="64"/>
    </row>
    <row r="31" spans="1:9" ht="12.75" customHeight="1">
      <c r="A31" s="202"/>
      <c r="B31" s="202"/>
      <c r="C31" s="202"/>
      <c r="D31" s="202"/>
      <c r="E31" s="202"/>
      <c r="F31" s="64"/>
      <c r="G31" s="64"/>
      <c r="H31" s="64"/>
      <c r="I31" s="64"/>
    </row>
    <row r="32" spans="1:9" ht="14.7" customHeight="1">
      <c r="A32" s="202"/>
      <c r="B32" s="202"/>
      <c r="C32" s="202"/>
      <c r="D32" s="202"/>
      <c r="E32" s="202"/>
    </row>
    <row r="33" spans="1:9" ht="12.75" customHeight="1">
      <c r="A33" s="65"/>
      <c r="B33" s="65"/>
      <c r="E33" s="65"/>
      <c r="F33" s="65"/>
      <c r="G33" s="65"/>
      <c r="H33" s="65"/>
      <c r="I33" s="65"/>
    </row>
    <row r="34" spans="1:9" ht="12.75" customHeight="1">
      <c r="A34" s="65"/>
      <c r="B34" s="65"/>
      <c r="C34" s="65"/>
      <c r="D34" s="65"/>
      <c r="E34" s="65"/>
      <c r="F34" s="65"/>
      <c r="G34" s="65"/>
      <c r="H34" s="65"/>
      <c r="I34" s="65"/>
    </row>
    <row r="35" spans="1:9" ht="15.6">
      <c r="C35" s="65"/>
      <c r="D35" s="65"/>
    </row>
  </sheetData>
  <sheetProtection algorithmName="SHA-512" hashValue="lVLZckd4nPjW3ezphsOUgC1t4pbF6IR3nOujXF5FbmztN1aJFJ6+H4vChtuaaAPV2k151AiQmTqkzGe/EYY4/w==" saltValue="oCN5xQiaG3h3F3OT6hOT1Q==" spinCount="100000" sheet="1" objects="1" scenarios="1" selectLockedCells="1"/>
  <mergeCells count="4">
    <mergeCell ref="A30:E32"/>
    <mergeCell ref="A1:D3"/>
    <mergeCell ref="F1:I1"/>
    <mergeCell ref="D11:D12"/>
  </mergeCells>
  <printOptions horizontalCentered="1"/>
  <pageMargins left="0.75" right="0.75" top="1" bottom="1" header="0.5" footer="0.5"/>
  <pageSetup scale="94" orientation="landscape" r:id="rId1"/>
  <headerFooter alignWithMargins="0"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"/>
  <sheetViews>
    <sheetView showGridLines="0" workbookViewId="0">
      <selection activeCell="L22" sqref="L22"/>
    </sheetView>
  </sheetViews>
  <sheetFormatPr defaultRowHeight="13.2"/>
  <sheetData>
    <row r="1" spans="1:15">
      <c r="A1" s="207" t="s">
        <v>184</v>
      </c>
      <c r="B1" s="207"/>
      <c r="C1" s="207"/>
      <c r="D1" s="207"/>
      <c r="E1" s="207"/>
      <c r="F1" s="207"/>
      <c r="G1" s="207"/>
      <c r="H1" s="207"/>
      <c r="I1" s="207"/>
      <c r="J1" s="207"/>
      <c r="K1" s="154"/>
      <c r="L1" s="154"/>
      <c r="M1" s="154"/>
      <c r="N1" s="154"/>
      <c r="O1" s="154"/>
    </row>
    <row r="2" spans="1:1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154"/>
      <c r="L2" s="154"/>
      <c r="M2" s="154"/>
      <c r="N2" s="154"/>
      <c r="O2" s="154"/>
    </row>
    <row r="3" spans="1:15">
      <c r="A3" s="207"/>
      <c r="B3" s="207"/>
      <c r="C3" s="207"/>
      <c r="D3" s="207"/>
      <c r="E3" s="207"/>
      <c r="F3" s="207"/>
      <c r="G3" s="207"/>
      <c r="H3" s="207"/>
      <c r="I3" s="207"/>
      <c r="J3" s="207"/>
    </row>
    <row r="4" spans="1:15">
      <c r="A4" s="207"/>
      <c r="B4" s="207"/>
      <c r="C4" s="207"/>
      <c r="D4" s="207"/>
      <c r="E4" s="207"/>
      <c r="F4" s="207"/>
      <c r="G4" s="207"/>
      <c r="H4" s="207"/>
      <c r="I4" s="207"/>
      <c r="J4" s="207"/>
    </row>
  </sheetData>
  <sheetProtection algorithmName="SHA-512" hashValue="0nhk3CfzxcuNmU4QTo67jAdPVjqbCI9vf2QWgGCkhi5Y9DXePQSzAkQM8ulzIoFqdotWBi57EbRfu4gfOLg9vQ==" saltValue="SE6mmu3rpfUK5Ls8WHhWqQ==" spinCount="100000" sheet="1" objects="1" scenarios="1"/>
  <mergeCells count="1">
    <mergeCell ref="A1:J4"/>
  </mergeCells>
  <pageMargins left="0.7" right="0.7" top="0.75" bottom="0.75" header="0.3" footer="0.3"/>
  <pageSetup orientation="portrait" verticalDpi="0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Rock-armored crossing nomograph</vt:lpstr>
      <vt:lpstr>Rock-armored full design</vt:lpstr>
      <vt:lpstr>Volume calculation worksheet</vt:lpstr>
      <vt:lpstr>Q100 calculations</vt:lpstr>
      <vt:lpstr>Fill Height Worksheet</vt:lpstr>
      <vt:lpstr>Culvert sizing nomograph</vt:lpstr>
      <vt:lpstr>'Culvert sizing nomograph'!Print_Area</vt:lpstr>
      <vt:lpstr>'Fill Height Worksheet'!Print_Area</vt:lpstr>
      <vt:lpstr>'Q100 calculations'!Print_Area</vt:lpstr>
      <vt:lpstr>'Rock-armored crossing nomograph'!Print_Area</vt:lpstr>
      <vt:lpstr>'Rock-armored full design'!Print_Area</vt:lpstr>
      <vt:lpstr>'Volume calculation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Headley, Shawn@CALFIRE</cp:lastModifiedBy>
  <cp:lastPrinted>2017-08-07T20:36:02Z</cp:lastPrinted>
  <dcterms:created xsi:type="dcterms:W3CDTF">2015-03-26T22:36:09Z</dcterms:created>
  <dcterms:modified xsi:type="dcterms:W3CDTF">2026-08-25T19:41:26Z</dcterms:modified>
</cp:coreProperties>
</file>